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8_5.bin" ContentType="application/vnd.openxmlformats-officedocument.oleObject"/>
  <Override PartName="/xl/embeddings/oleObject_8_6.bin" ContentType="application/vnd.openxmlformats-officedocument.oleObject"/>
  <Override PartName="/xl/embeddings/oleObject_8_7.bin" ContentType="application/vnd.openxmlformats-officedocument.oleObject"/>
  <Override PartName="/xl/embeddings/oleObject_8_8.bin" ContentType="application/vnd.openxmlformats-officedocument.oleObject"/>
  <Override PartName="/xl/embeddings/oleObject_8_9.bin" ContentType="application/vnd.openxmlformats-officedocument.oleObject"/>
  <Override PartName="/xl/embeddings/oleObject_8_10.bin" ContentType="application/vnd.openxmlformats-officedocument.oleObject"/>
  <Override PartName="/xl/embeddings/oleObject_8_11.bin" ContentType="application/vnd.openxmlformats-officedocument.oleObject"/>
  <Override PartName="/xl/embeddings/oleObject_8_12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  <Override PartName="/xl/embeddings/oleObject_10_4.bin" ContentType="application/vnd.openxmlformats-officedocument.oleObject"/>
  <Override PartName="/xl/embeddings/oleObject_10_5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  <Override PartName="/xl/embeddings/oleObject_12_6.bin" ContentType="application/vnd.openxmlformats-officedocument.oleObject"/>
  <Override PartName="/xl/embeddings/oleObject_12_7.bin" ContentType="application/vnd.openxmlformats-officedocument.oleObject"/>
  <Override PartName="/xl/embeddings/oleObject_12_8.bin" ContentType="application/vnd.openxmlformats-officedocument.oleObject"/>
  <Override PartName="/xl/embeddings/oleObject_12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線形補間" sheetId="1" r:id="rId1"/>
    <sheet name="ラグランジェ補間" sheetId="2" r:id="rId2"/>
    <sheet name="面要素補間" sheetId="3" r:id="rId3"/>
    <sheet name="立体要素補間" sheetId="4" r:id="rId4"/>
    <sheet name="逆マトリックス" sheetId="5" r:id="rId5"/>
    <sheet name="ガウスの消去法" sheetId="6" r:id="rId6"/>
    <sheet name="最小二乗法" sheetId="7" r:id="rId7"/>
    <sheet name="2次方程式" sheetId="8" r:id="rId8"/>
    <sheet name="3次方程式" sheetId="9" r:id="rId9"/>
    <sheet name="ニュートン法" sheetId="10" r:id="rId10"/>
    <sheet name="ニュートン・ラプソン法" sheetId="11" r:id="rId11"/>
    <sheet name="シンプソンの積分公式" sheetId="12" r:id="rId12"/>
    <sheet name="ガウスの積分公式" sheetId="13" r:id="rId13"/>
  </sheets>
  <definedNames/>
  <calcPr fullCalcOnLoad="1"/>
</workbook>
</file>

<file path=xl/sharedStrings.xml><?xml version="1.0" encoding="utf-8"?>
<sst xmlns="http://schemas.openxmlformats.org/spreadsheetml/2006/main" count="762" uniqueCount="409">
  <si>
    <t>基データ</t>
  </si>
  <si>
    <t>線形補間</t>
  </si>
  <si>
    <t>項</t>
  </si>
  <si>
    <t>分子</t>
  </si>
  <si>
    <t>分母</t>
  </si>
  <si>
    <t>各項の値</t>
  </si>
  <si>
    <t>上記の連立方程式をマトリックス表示すると次のようになる．</t>
  </si>
  <si>
    <t>①行列式</t>
  </si>
  <si>
    <t>②余因数マトリックス</t>
  </si>
  <si>
    <t>③随伴マトリックス</t>
  </si>
  <si>
    <t>←</t>
  </si>
  <si>
    <t>余因数マトリックスをコピーする．</t>
  </si>
  <si>
    <t>をチェックする．</t>
  </si>
  <si>
    <t>従って，</t>
  </si>
  <si>
    <t>従って</t>
  </si>
  <si>
    <t>第１行</t>
  </si>
  <si>
    <t>第２行</t>
  </si>
  <si>
    <t>第３行</t>
  </si>
  <si>
    <t>ｘ値</t>
  </si>
  <si>
    <t>ｙ値</t>
  </si>
  <si>
    <t>線形補間の設定（２点間の設定）</t>
  </si>
  <si>
    <t>求めたい点</t>
  </si>
  <si>
    <t>各係数は次の通りである．</t>
  </si>
  <si>
    <t>２回目</t>
  </si>
  <si>
    <t>１回目</t>
  </si>
  <si>
    <t>３回目</t>
  </si>
  <si>
    <t>４回目</t>
  </si>
  <si>
    <t>５回目</t>
  </si>
  <si>
    <t>ラグランジェ補間</t>
  </si>
  <si>
    <t>逆マトリックス法</t>
  </si>
  <si>
    <t>ガウスの消去法</t>
  </si>
  <si>
    <t>ニュートン法</t>
  </si>
  <si>
    <t>ニュートン・ラプソン法</t>
  </si>
  <si>
    <t>ガウスの積分公式</t>
  </si>
  <si>
    <t>←入力値</t>
  </si>
  <si>
    <t>←出力値</t>
  </si>
  <si>
    <t>［演習１］</t>
  </si>
  <si>
    <t>［演習２］</t>
  </si>
  <si>
    <t>3x+y=7</t>
  </si>
  <si>
    <t>x-4y=-2</t>
  </si>
  <si>
    <t>×</t>
  </si>
  <si>
    <t>x</t>
  </si>
  <si>
    <t>=</t>
  </si>
  <si>
    <t>←</t>
  </si>
  <si>
    <t>y</t>
  </si>
  <si>
    <t>←</t>
  </si>
  <si>
    <t>×</t>
  </si>
  <si>
    <t>x</t>
  </si>
  <si>
    <t>=</t>
  </si>
  <si>
    <t>-2-7×(1/3)</t>
  </si>
  <si>
    <t>↑</t>
  </si>
  <si>
    <t>x=</t>
  </si>
  <si>
    <t>y=</t>
  </si>
  <si>
    <t>4x-y+2z=15</t>
  </si>
  <si>
    <t>-x+2y+3z=5</t>
  </si>
  <si>
    <t>5x-7y+9z=8</t>
  </si>
  <si>
    <t>z</t>
  </si>
  <si>
    <t>z=</t>
  </si>
  <si>
    <t>No.</t>
  </si>
  <si>
    <t>i</t>
  </si>
  <si>
    <t>xi</t>
  </si>
  <si>
    <t>yi</t>
  </si>
  <si>
    <t>x=</t>
  </si>
  <si>
    <t>x-xi</t>
  </si>
  <si>
    <t>yi</t>
  </si>
  <si>
    <t>x=</t>
  </si>
  <si>
    <t>y=</t>
  </si>
  <si>
    <t>シンプソンの積分公式</t>
  </si>
  <si>
    <t>全体座標と局所座標の関係を求める。</t>
  </si>
  <si>
    <t>ここで，座標P（8,6）の温度を求めよ。</t>
  </si>
  <si>
    <t>位置</t>
  </si>
  <si>
    <t>温度</t>
  </si>
  <si>
    <t>形状関数Ni</t>
  </si>
  <si>
    <t>温度φi</t>
  </si>
  <si>
    <t>位置i</t>
  </si>
  <si>
    <t>計(1-4)</t>
  </si>
  <si>
    <t>計(5-8)</t>
  </si>
  <si>
    <t>第２行：第１行に掛け算する係数</t>
  </si>
  <si>
    <t>第３行：第１行に掛け算する係数</t>
  </si>
  <si>
    <t>第３行：第２行に掛け算する係数</t>
  </si>
  <si>
    <t>↑</t>
  </si>
  <si>
    <t>合計値</t>
  </si>
  <si>
    <t>i</t>
  </si>
  <si>
    <t>D=</t>
  </si>
  <si>
    <t>　①b&gt;0の場合</t>
  </si>
  <si>
    <t>　②b&lt;0の場合</t>
  </si>
  <si>
    <t>また，b&lt;0であることから，②で解を求める。</t>
  </si>
  <si>
    <r>
      <t>ｘ値</t>
    </r>
    <r>
      <rPr>
        <sz val="11"/>
        <rFont val="ＭＳ Ｐゴシック"/>
        <family val="3"/>
      </rPr>
      <t>(m)</t>
    </r>
  </si>
  <si>
    <r>
      <t>ｙ値</t>
    </r>
    <r>
      <rPr>
        <sz val="11"/>
        <rFont val="ＭＳ Ｐゴシック"/>
        <family val="3"/>
      </rPr>
      <t>(℃)</t>
    </r>
  </si>
  <si>
    <r>
      <t>における</t>
    </r>
    <r>
      <rPr>
        <sz val="11"/>
        <rFont val="ＭＳ Ｐゴシック"/>
        <family val="3"/>
      </rPr>
      <t>yを求める．</t>
    </r>
  </si>
  <si>
    <r>
      <t>データ数は４個であることから，</t>
    </r>
    <r>
      <rPr>
        <sz val="11"/>
        <rFont val="ＭＳ Ｐゴシック"/>
        <family val="3"/>
      </rPr>
      <t>y(x=2.2)を求める式の項も４個になる．</t>
    </r>
  </si>
  <si>
    <r>
      <t>第１段階：</t>
    </r>
    <r>
      <rPr>
        <sz val="11"/>
        <rFont val="ＭＳ Ｐゴシック"/>
        <family val="3"/>
      </rPr>
      <t>aijの余因数は第i行j列を消去した(n-1)次正方マトリックスの行列式である．</t>
    </r>
  </si>
  <si>
    <r>
      <t>「形式を選択して貼り付け</t>
    </r>
    <r>
      <rPr>
        <sz val="11"/>
        <rFont val="ＭＳ Ｐゴシック"/>
        <family val="3"/>
      </rPr>
      <t>(S)」を選択し，</t>
    </r>
  </si>
  <si>
    <r>
      <t>「貼付」を「値」にし，「行列を入れ替える</t>
    </r>
    <r>
      <rPr>
        <sz val="11"/>
        <rFont val="ＭＳ Ｐゴシック"/>
        <family val="3"/>
      </rPr>
      <t>(E)．」</t>
    </r>
  </si>
  <si>
    <r>
      <t>①第２行</t>
    </r>
    <r>
      <rPr>
        <sz val="11"/>
        <rFont val="ＭＳ Ｐゴシック"/>
        <family val="3"/>
      </rPr>
      <t>-(1/3)第１行　←第２行からxを消去</t>
    </r>
  </si>
  <si>
    <t>-4-1×(1/3)</t>
  </si>
  <si>
    <t>y</t>
  </si>
  <si>
    <t>=</t>
  </si>
  <si>
    <t>-4.3333/-4.3333</t>
  </si>
  <si>
    <t>×</t>
  </si>
  <si>
    <t>x</t>
  </si>
  <si>
    <t>=</t>
  </si>
  <si>
    <t>y</t>
  </si>
  <si>
    <t>(7-1×1)/3</t>
  </si>
  <si>
    <t>x=</t>
  </si>
  <si>
    <t>y=</t>
  </si>
  <si>
    <r>
      <t>①第２行</t>
    </r>
    <r>
      <rPr>
        <sz val="11"/>
        <rFont val="ＭＳ Ｐゴシック"/>
        <family val="3"/>
      </rPr>
      <t>-(-1/4)第１行，第３行-(5/4)第３行　←第２，３行からxを消去</t>
    </r>
  </si>
  <si>
    <r>
      <t>②第３行</t>
    </r>
    <r>
      <rPr>
        <sz val="11"/>
        <rFont val="ＭＳ Ｐゴシック"/>
        <family val="3"/>
      </rPr>
      <t>-(-5.75/-1)第２行　←第３行からyを消去</t>
    </r>
  </si>
  <si>
    <r>
      <t>　b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&gt;&gt;4acであり，4acがb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より極めて小さく，桁落ちが生じる場合</t>
    </r>
  </si>
  <si>
    <t>a=</t>
  </si>
  <si>
    <t>b=</t>
  </si>
  <si>
    <t>c=</t>
  </si>
  <si>
    <r>
      <t>判別式D=b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-4acを求める。</t>
    </r>
  </si>
  <si>
    <r>
      <t>b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</t>
    </r>
  </si>
  <si>
    <t>4ac=</t>
  </si>
  <si>
    <t>D=</t>
  </si>
  <si>
    <r>
      <t>b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&gt;&gt;4acであり，4acがb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より極めて小さく，桁落ちが生じる。</t>
    </r>
  </si>
  <si>
    <r>
      <t>x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</t>
    </r>
  </si>
  <si>
    <r>
      <t>x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</t>
    </r>
  </si>
  <si>
    <r>
      <t>収束条件：</t>
    </r>
    <r>
      <rPr>
        <sz val="11"/>
        <rFont val="ＭＳ Ｐゴシック"/>
        <family val="3"/>
      </rPr>
      <t>e=10</t>
    </r>
    <r>
      <rPr>
        <vertAlign val="superscript"/>
        <sz val="11"/>
        <rFont val="ＭＳ Ｐゴシック"/>
        <family val="3"/>
      </rPr>
      <t>-6</t>
    </r>
  </si>
  <si>
    <r>
      <t>f(x)</t>
    </r>
    <r>
      <rPr>
        <sz val="11"/>
        <rFont val="ＭＳ Ｐゴシック"/>
        <family val="3"/>
      </rPr>
      <t>の微分f'(x)は次のようになる．</t>
    </r>
  </si>
  <si>
    <r>
      <t>①第１解を求める．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=0.8とする．</t>
    </r>
  </si>
  <si>
    <r>
      <t>f(x)=(x-1)g(x)</t>
    </r>
    <r>
      <rPr>
        <sz val="11"/>
        <rFont val="ＭＳ Ｐゴシック"/>
        <family val="3"/>
      </rPr>
      <t>となるg(x)を求める．</t>
    </r>
  </si>
  <si>
    <r>
      <t>の場合</t>
    </r>
    <r>
      <rPr>
        <sz val="11"/>
        <rFont val="ＭＳ Ｐゴシック"/>
        <family val="3"/>
      </rPr>
      <t>g(x)は次のようになる．</t>
    </r>
  </si>
  <si>
    <r>
      <t>g(x)</t>
    </r>
    <r>
      <rPr>
        <sz val="11"/>
        <rFont val="ＭＳ Ｐゴシック"/>
        <family val="3"/>
      </rPr>
      <t>の係数は，次の式で求めることができる．ここで，x</t>
    </r>
    <r>
      <rPr>
        <vertAlign val="subscript"/>
        <sz val="11"/>
        <rFont val="ＭＳ Ｐゴシック"/>
        <family val="3"/>
      </rPr>
      <t>n</t>
    </r>
    <r>
      <rPr>
        <sz val="11"/>
        <rFont val="ＭＳ Ｐゴシック"/>
        <family val="3"/>
      </rPr>
      <t>は１つの実数根である．</t>
    </r>
  </si>
  <si>
    <r>
      <t>従って，</t>
    </r>
    <r>
      <rPr>
        <sz val="11"/>
        <rFont val="ＭＳ Ｐゴシック"/>
        <family val="3"/>
      </rPr>
      <t>g(x)=x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+x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-4x-4となり，g'(x)=3x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+2x-4となる．</t>
    </r>
  </si>
  <si>
    <r>
      <t>②第２解を求める．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=1.5とする．</t>
    </r>
  </si>
  <si>
    <r>
      <t>二つ目の解は</t>
    </r>
    <r>
      <rPr>
        <sz val="11"/>
        <rFont val="ＭＳ Ｐゴシック"/>
        <family val="3"/>
      </rPr>
      <t>x=2.0である．</t>
    </r>
  </si>
  <si>
    <r>
      <t>従って，</t>
    </r>
    <r>
      <rPr>
        <sz val="11"/>
        <rFont val="ＭＳ Ｐゴシック"/>
        <family val="3"/>
      </rPr>
      <t>h(x)=x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+3x+2となり，h'(x)=2x+3となる．</t>
    </r>
  </si>
  <si>
    <r>
      <t>③第３解を求める．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=-0.5とする．</t>
    </r>
  </si>
  <si>
    <r>
      <t>三つ目の解は</t>
    </r>
    <r>
      <rPr>
        <sz val="11"/>
        <rFont val="ＭＳ Ｐゴシック"/>
        <family val="3"/>
      </rPr>
      <t>x=-1.0である．</t>
    </r>
  </si>
  <si>
    <r>
      <t>従って，</t>
    </r>
    <r>
      <rPr>
        <sz val="11"/>
        <rFont val="ＭＳ Ｐゴシック"/>
        <family val="3"/>
      </rPr>
      <t>m(x)=x+2となる．</t>
    </r>
  </si>
  <si>
    <r>
      <t>従って，四つ目の解は</t>
    </r>
    <r>
      <rPr>
        <sz val="11"/>
        <rFont val="ＭＳ Ｐゴシック"/>
        <family val="3"/>
      </rPr>
      <t>x=-2.0である．</t>
    </r>
  </si>
  <si>
    <r>
      <t>f(x)=(x-1)(x-2)(x+1)(x+2)</t>
    </r>
    <r>
      <rPr>
        <sz val="11"/>
        <rFont val="ＭＳ Ｐゴシック"/>
        <family val="3"/>
      </rPr>
      <t>となり，解はx=1，2，-1，-2である．</t>
    </r>
  </si>
  <si>
    <r>
      <t>間隔</t>
    </r>
    <r>
      <rPr>
        <sz val="11"/>
        <rFont val="ＭＳ Ｐゴシック"/>
        <family val="3"/>
      </rPr>
      <t>=</t>
    </r>
  </si>
  <si>
    <r>
      <t>←間隔</t>
    </r>
    <r>
      <rPr>
        <sz val="11"/>
        <rFont val="ＭＳ Ｐゴシック"/>
        <family val="3"/>
      </rPr>
      <t>=2×h</t>
    </r>
  </si>
  <si>
    <t>4節点面要素</t>
  </si>
  <si>
    <r>
      <t>アイソパラメトリック要素の形状関数（</t>
    </r>
    <r>
      <rPr>
        <sz val="11"/>
        <rFont val="ＭＳ Ｐゴシック"/>
        <family val="3"/>
      </rPr>
      <t>Shape Function）</t>
    </r>
  </si>
  <si>
    <r>
      <t>U=</t>
    </r>
    <r>
      <rPr>
        <sz val="11"/>
        <rFont val="ＭＳ Ｐゴシック"/>
        <family val="3"/>
      </rPr>
      <t>ΣNi*φi</t>
    </r>
  </si>
  <si>
    <r>
      <t>N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=1/4*(1-ξ)*(1-η)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</si>
  <si>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=1/4*(1+ξ)*(1-η)</t>
    </r>
  </si>
  <si>
    <r>
      <t>N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=1/4*(1+ξ)*(1+η)</t>
    </r>
  </si>
  <si>
    <r>
      <t>N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=1/4*(1-ξ)*(1+η)</t>
    </r>
  </si>
  <si>
    <r>
      <t>各位置の座標は，位置</t>
    </r>
    <r>
      <rPr>
        <sz val="11"/>
        <rFont val="ＭＳ Ｐゴシック"/>
        <family val="3"/>
      </rPr>
      <t>1(5,2)，位置2（15,2），位置3（15,10），位置4（5,10）とする。</t>
    </r>
  </si>
  <si>
    <r>
      <t>また，各位置の温度は，位置</t>
    </r>
    <r>
      <rPr>
        <sz val="11"/>
        <rFont val="ＭＳ Ｐゴシック"/>
        <family val="3"/>
      </rPr>
      <t>1：5℃，位置2：8℃，位置3：10℃，位置4：12℃とする。</t>
    </r>
  </si>
  <si>
    <r>
      <t>X</t>
    </r>
    <r>
      <rPr>
        <sz val="11"/>
        <rFont val="ＭＳ Ｐゴシック"/>
        <family val="3"/>
      </rPr>
      <t>座標</t>
    </r>
  </si>
  <si>
    <r>
      <t>Y</t>
    </r>
    <r>
      <rPr>
        <sz val="11"/>
        <rFont val="ＭＳ Ｐゴシック"/>
        <family val="3"/>
      </rPr>
      <t>座標</t>
    </r>
  </si>
  <si>
    <t>P</t>
  </si>
  <si>
    <t>X=</t>
  </si>
  <si>
    <r>
      <t>←</t>
    </r>
    <r>
      <rPr>
        <sz val="11"/>
        <rFont val="ＭＳ Ｐゴシック"/>
        <family val="3"/>
      </rPr>
      <t>(15-5)/(1-(-1))</t>
    </r>
  </si>
  <si>
    <t>Y=</t>
  </si>
  <si>
    <r>
      <t>←</t>
    </r>
    <r>
      <rPr>
        <sz val="11"/>
        <rFont val="ＭＳ Ｐゴシック"/>
        <family val="3"/>
      </rPr>
      <t>(10-2)/(1-(-1))</t>
    </r>
  </si>
  <si>
    <r>
      <t>局所座標</t>
    </r>
    <r>
      <rPr>
        <sz val="11"/>
        <rFont val="ＭＳ Ｐゴシック"/>
        <family val="3"/>
      </rPr>
      <t>0点の全体座標を求める。</t>
    </r>
  </si>
  <si>
    <t>0x=</t>
  </si>
  <si>
    <t>←5+5</t>
  </si>
  <si>
    <t>0y=</t>
  </si>
  <si>
    <t>←2+4</t>
  </si>
  <si>
    <r>
      <t>座標</t>
    </r>
    <r>
      <rPr>
        <sz val="11"/>
        <rFont val="ＭＳ Ｐゴシック"/>
        <family val="3"/>
      </rPr>
      <t>Pの局所座標を求める。</t>
    </r>
  </si>
  <si>
    <t>Px=</t>
  </si>
  <si>
    <t>←(8-10)/5</t>
  </si>
  <si>
    <t>Py=</t>
  </si>
  <si>
    <t>←(6-6)/4</t>
  </si>
  <si>
    <t>Ni*φi</t>
  </si>
  <si>
    <t>P</t>
  </si>
  <si>
    <t>8節点面要素（隅節点＋中間節点）</t>
  </si>
  <si>
    <r>
      <t>N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=1/4*(1-ξ)*(1-η)*(-1-ξ-η)</t>
    </r>
  </si>
  <si>
    <r>
      <t>N</t>
    </r>
    <r>
      <rPr>
        <vertAlign val="subscript"/>
        <sz val="11"/>
        <rFont val="ＭＳ Ｐゴシック"/>
        <family val="3"/>
      </rPr>
      <t>5</t>
    </r>
    <r>
      <rPr>
        <sz val="11"/>
        <rFont val="ＭＳ Ｐゴシック"/>
        <family val="3"/>
      </rPr>
      <t>=1/2*(1-ξ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)*(1-η)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</si>
  <si>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=1/4*(1+ξ)*(1-η)*(-1+ξ-η)</t>
    </r>
  </si>
  <si>
    <r>
      <t>N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=1/2*(1+ξ)*(1-η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</si>
  <si>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N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=1/4*(1+ξ)*(1+η)*(-1+ξ+η)</t>
    </r>
  </si>
  <si>
    <r>
      <t>N</t>
    </r>
    <r>
      <rPr>
        <vertAlign val="subscript"/>
        <sz val="11"/>
        <rFont val="ＭＳ Ｐゴシック"/>
        <family val="3"/>
      </rPr>
      <t>7</t>
    </r>
    <r>
      <rPr>
        <sz val="11"/>
        <rFont val="ＭＳ Ｐゴシック"/>
        <family val="3"/>
      </rPr>
      <t>=1/2*(1-ξ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)*(1+η)</t>
    </r>
  </si>
  <si>
    <r>
      <t>N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=1/4*(1-ξ)*(1+η)*(-1-ξ+η)</t>
    </r>
  </si>
  <si>
    <r>
      <t>N</t>
    </r>
    <r>
      <rPr>
        <vertAlign val="subscript"/>
        <sz val="11"/>
        <rFont val="ＭＳ Ｐゴシック"/>
        <family val="3"/>
      </rPr>
      <t>8</t>
    </r>
    <r>
      <rPr>
        <sz val="11"/>
        <rFont val="ＭＳ Ｐゴシック"/>
        <family val="3"/>
      </rPr>
      <t>=1/2*(1-ξ)*(1-η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</si>
  <si>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ここで，座標P（8,6）の温度を求めよ。</t>
    </r>
    <r>
      <rPr>
        <u val="double"/>
        <sz val="11"/>
        <rFont val="ＭＳ Ｐゴシック"/>
        <family val="3"/>
      </rPr>
      <t>但し，中間節点の温度は指定値ではなく，線形補間の値とする。</t>
    </r>
  </si>
  <si>
    <t>P</t>
  </si>
  <si>
    <t>8節点立体要素</t>
  </si>
  <si>
    <r>
      <t>N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=-1/8*(1-ξ)*(1-η)*(1-ζ)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</si>
  <si>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=-1/8*(1+ξ)*(1-η)*(1-ζ)</t>
    </r>
  </si>
  <si>
    <r>
      <t>N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=-1/8*(1+ξ)*(1+η)*(1-ζ)</t>
    </r>
  </si>
  <si>
    <r>
      <t>N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=-1/8*(1-ξ)*(1+η)*(1-ζ)</t>
    </r>
  </si>
  <si>
    <r>
      <t>N</t>
    </r>
    <r>
      <rPr>
        <vertAlign val="subscript"/>
        <sz val="11"/>
        <rFont val="ＭＳ Ｐゴシック"/>
        <family val="3"/>
      </rPr>
      <t>5</t>
    </r>
    <r>
      <rPr>
        <sz val="11"/>
        <rFont val="ＭＳ Ｐゴシック"/>
        <family val="3"/>
      </rPr>
      <t>=-1/8*(1-ξ)*(1-η)*(1+ζ)</t>
    </r>
  </si>
  <si>
    <r>
      <t>N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=-1/8*(1+ξ)*(1-η)*(1+ζ)</t>
    </r>
  </si>
  <si>
    <r>
      <t>N</t>
    </r>
    <r>
      <rPr>
        <vertAlign val="subscript"/>
        <sz val="11"/>
        <rFont val="ＭＳ Ｐゴシック"/>
        <family val="3"/>
      </rPr>
      <t>7</t>
    </r>
    <r>
      <rPr>
        <sz val="11"/>
        <rFont val="ＭＳ Ｐゴシック"/>
        <family val="3"/>
      </rPr>
      <t>=-1/8*(1+ξ)*(1+η)*(1+ζ)</t>
    </r>
  </si>
  <si>
    <r>
      <t>N</t>
    </r>
    <r>
      <rPr>
        <vertAlign val="subscript"/>
        <sz val="11"/>
        <rFont val="ＭＳ Ｐゴシック"/>
        <family val="3"/>
      </rPr>
      <t>8</t>
    </r>
    <r>
      <rPr>
        <sz val="11"/>
        <rFont val="ＭＳ Ｐゴシック"/>
        <family val="3"/>
      </rPr>
      <t>=-1/8*(1-ξ)*(1+η)*(1+ζ)</t>
    </r>
  </si>
  <si>
    <t>20節点立体要素（隅節点＋中間節点）</t>
  </si>
  <si>
    <r>
      <t>N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=-1/8*(1-ξ)*(1-η)*(1-ζ)*(2+ξ+η+ζ)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</si>
  <si>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=-1/8*(1+ξ)*(1-η)*(1-ζ)*(2-ξ+η+ζ)</t>
    </r>
  </si>
  <si>
    <r>
      <t>N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=-1/8*(1+ξ)*(1+η)*(1-ζ)*(2-ξ-η+ζ)</t>
    </r>
  </si>
  <si>
    <r>
      <t>N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=-1/8*(1-ξ)*(1+η)*(1-ζ)*(2+ξ-η+ζ)</t>
    </r>
  </si>
  <si>
    <r>
      <t>N</t>
    </r>
    <r>
      <rPr>
        <vertAlign val="subscript"/>
        <sz val="11"/>
        <rFont val="ＭＳ Ｐゴシック"/>
        <family val="3"/>
      </rPr>
      <t>5</t>
    </r>
    <r>
      <rPr>
        <sz val="11"/>
        <rFont val="ＭＳ Ｐゴシック"/>
        <family val="3"/>
      </rPr>
      <t>=-1/8*(1-ξ)*(1-η)*(1+ζ)*(2+ξ+η-ζ)</t>
    </r>
  </si>
  <si>
    <r>
      <t>N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=-1/8*(1+ξ)*(1-η)*(1+ζ)*(2-ξ+η-ζ)</t>
    </r>
  </si>
  <si>
    <r>
      <t>N</t>
    </r>
    <r>
      <rPr>
        <vertAlign val="subscript"/>
        <sz val="11"/>
        <rFont val="ＭＳ Ｐゴシック"/>
        <family val="3"/>
      </rPr>
      <t>7</t>
    </r>
    <r>
      <rPr>
        <sz val="11"/>
        <rFont val="ＭＳ Ｐゴシック"/>
        <family val="3"/>
      </rPr>
      <t>=-1/8*(1+ξ)*(1+η)*(1+ζ)*(2-ξ-η-ζ)</t>
    </r>
  </si>
  <si>
    <r>
      <t>N</t>
    </r>
    <r>
      <rPr>
        <vertAlign val="subscript"/>
        <sz val="11"/>
        <rFont val="ＭＳ Ｐゴシック"/>
        <family val="3"/>
      </rPr>
      <t>8</t>
    </r>
    <r>
      <rPr>
        <sz val="11"/>
        <rFont val="ＭＳ Ｐゴシック"/>
        <family val="3"/>
      </rPr>
      <t>=-1/8*(1-ξ)*(1+η)*(1+ζ)*(2+ξ-η-ζ)</t>
    </r>
  </si>
  <si>
    <r>
      <t>N</t>
    </r>
    <r>
      <rPr>
        <vertAlign val="subscript"/>
        <sz val="11"/>
        <rFont val="ＭＳ Ｐゴシック"/>
        <family val="3"/>
      </rPr>
      <t>9</t>
    </r>
    <r>
      <rPr>
        <sz val="11"/>
        <rFont val="ＭＳ Ｐゴシック"/>
        <family val="3"/>
      </rPr>
      <t>=1/4*(1-ξ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)*(1-η)*(1-ζ)</t>
    </r>
  </si>
  <si>
    <r>
      <t>N</t>
    </r>
    <r>
      <rPr>
        <vertAlign val="subscript"/>
        <sz val="11"/>
        <rFont val="ＭＳ Ｐゴシック"/>
        <family val="3"/>
      </rPr>
      <t>10</t>
    </r>
    <r>
      <rPr>
        <sz val="11"/>
        <rFont val="ＭＳ Ｐゴシック"/>
        <family val="3"/>
      </rPr>
      <t>=1/4*(1+ξ)*(1-η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)*(1-ζ)</t>
    </r>
  </si>
  <si>
    <r>
      <t>N</t>
    </r>
    <r>
      <rPr>
        <vertAlign val="subscript"/>
        <sz val="11"/>
        <rFont val="ＭＳ Ｐゴシック"/>
        <family val="3"/>
      </rPr>
      <t>11</t>
    </r>
    <r>
      <rPr>
        <sz val="11"/>
        <rFont val="ＭＳ Ｐゴシック"/>
        <family val="3"/>
      </rPr>
      <t>=1/4*(1-ξ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)*(1+η)*(1-ζ)</t>
    </r>
  </si>
  <si>
    <r>
      <t>N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3"/>
      </rPr>
      <t>=1/4*(1-ξ)*(1-η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)*(1-ζ)</t>
    </r>
  </si>
  <si>
    <r>
      <t>N</t>
    </r>
    <r>
      <rPr>
        <vertAlign val="subscript"/>
        <sz val="11"/>
        <rFont val="ＭＳ Ｐゴシック"/>
        <family val="3"/>
      </rPr>
      <t>13</t>
    </r>
    <r>
      <rPr>
        <sz val="11"/>
        <rFont val="ＭＳ Ｐゴシック"/>
        <family val="3"/>
      </rPr>
      <t>=1/4*(1-ξ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)*(1-η)*(1+ζ)</t>
    </r>
  </si>
  <si>
    <r>
      <t>N</t>
    </r>
    <r>
      <rPr>
        <vertAlign val="subscript"/>
        <sz val="11"/>
        <rFont val="ＭＳ Ｐゴシック"/>
        <family val="3"/>
      </rPr>
      <t>14</t>
    </r>
    <r>
      <rPr>
        <sz val="11"/>
        <rFont val="ＭＳ Ｐゴシック"/>
        <family val="3"/>
      </rPr>
      <t>=1/4*(1+ξ)*(1-η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)*(1+ζ)</t>
    </r>
  </si>
  <si>
    <r>
      <t>N</t>
    </r>
    <r>
      <rPr>
        <vertAlign val="subscript"/>
        <sz val="11"/>
        <rFont val="ＭＳ Ｐゴシック"/>
        <family val="3"/>
      </rPr>
      <t>15</t>
    </r>
    <r>
      <rPr>
        <sz val="11"/>
        <rFont val="ＭＳ Ｐゴシック"/>
        <family val="3"/>
      </rPr>
      <t>=1/4*(1-ξ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)*(1+η)*(1+ζ)</t>
    </r>
  </si>
  <si>
    <r>
      <t>N</t>
    </r>
    <r>
      <rPr>
        <vertAlign val="subscript"/>
        <sz val="11"/>
        <rFont val="ＭＳ Ｐゴシック"/>
        <family val="3"/>
      </rPr>
      <t>16</t>
    </r>
    <r>
      <rPr>
        <sz val="11"/>
        <rFont val="ＭＳ Ｐゴシック"/>
        <family val="3"/>
      </rPr>
      <t>=1/4*(1-ξ)*(1-η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)*(1+ζ)</t>
    </r>
  </si>
  <si>
    <r>
      <t>N</t>
    </r>
    <r>
      <rPr>
        <vertAlign val="subscript"/>
        <sz val="11"/>
        <rFont val="ＭＳ Ｐゴシック"/>
        <family val="3"/>
      </rPr>
      <t>17</t>
    </r>
    <r>
      <rPr>
        <sz val="11"/>
        <rFont val="ＭＳ Ｐゴシック"/>
        <family val="3"/>
      </rPr>
      <t>=1/4*(1-ξ)*(1-η)*(1-ζ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</si>
  <si>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N</t>
    </r>
    <r>
      <rPr>
        <vertAlign val="subscript"/>
        <sz val="11"/>
        <rFont val="ＭＳ Ｐゴシック"/>
        <family val="3"/>
      </rPr>
      <t>18</t>
    </r>
    <r>
      <rPr>
        <sz val="11"/>
        <rFont val="ＭＳ Ｐゴシック"/>
        <family val="3"/>
      </rPr>
      <t>=1/4*(1+ξ)*(1-η)*(1-ζ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</si>
  <si>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N</t>
    </r>
    <r>
      <rPr>
        <vertAlign val="subscript"/>
        <sz val="11"/>
        <rFont val="ＭＳ Ｐゴシック"/>
        <family val="3"/>
      </rPr>
      <t>19</t>
    </r>
    <r>
      <rPr>
        <sz val="11"/>
        <rFont val="ＭＳ Ｐゴシック"/>
        <family val="3"/>
      </rPr>
      <t>=1/4*(1+ξ)*(1+η)*(1-ζ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</si>
  <si>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N</t>
    </r>
    <r>
      <rPr>
        <vertAlign val="subscript"/>
        <sz val="11"/>
        <rFont val="ＭＳ Ｐゴシック"/>
        <family val="3"/>
      </rPr>
      <t>20</t>
    </r>
    <r>
      <rPr>
        <sz val="11"/>
        <rFont val="ＭＳ Ｐゴシック"/>
        <family val="3"/>
      </rPr>
      <t>=1/4*(1-ξ)*(1+η)*(1-ζ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</si>
  <si>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x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-xi</t>
    </r>
  </si>
  <si>
    <r>
      <t>x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-xi</t>
    </r>
  </si>
  <si>
    <r>
      <t>x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-xi</t>
    </r>
  </si>
  <si>
    <r>
      <t>x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-xi</t>
    </r>
  </si>
  <si>
    <r>
      <t>x</t>
    </r>
    <r>
      <rPr>
        <vertAlign val="subscript"/>
        <sz val="11"/>
        <rFont val="ＭＳ Ｐゴシック"/>
        <family val="3"/>
      </rPr>
      <t>i</t>
    </r>
  </si>
  <si>
    <r>
      <t>y</t>
    </r>
    <r>
      <rPr>
        <vertAlign val="subscript"/>
        <sz val="11"/>
        <rFont val="ＭＳ Ｐゴシック"/>
        <family val="3"/>
      </rPr>
      <t>i</t>
    </r>
  </si>
  <si>
    <r>
      <t>x</t>
    </r>
    <r>
      <rPr>
        <vertAlign val="subscript"/>
        <sz val="11"/>
        <rFont val="ＭＳ Ｐゴシック"/>
        <family val="3"/>
      </rPr>
      <t>i+1</t>
    </r>
  </si>
  <si>
    <t>2次方程式の公式による解法</t>
  </si>
  <si>
    <t>3次方程式の公式による解法（カルダノの公式）</t>
  </si>
  <si>
    <t>上式を</t>
  </si>
  <si>
    <t>のように置き換える。</t>
  </si>
  <si>
    <t>m=</t>
  </si>
  <si>
    <t>n=</t>
  </si>
  <si>
    <t>D&lt;0であるので，3つの実根をもつ。</t>
  </si>
  <si>
    <t>n&lt;0であるので，正（+）を用いる。</t>
  </si>
  <si>
    <t>120i</t>
  </si>
  <si>
    <r>
      <t>z</t>
    </r>
    <r>
      <rPr>
        <vertAlign val="subscript"/>
        <sz val="11"/>
        <rFont val="ＭＳ Ｐゴシック"/>
        <family val="3"/>
      </rPr>
      <t>i</t>
    </r>
  </si>
  <si>
    <t>(rad)</t>
  </si>
  <si>
    <t>(deg)</t>
  </si>
  <si>
    <t>←　通常，EXCELの計算結果はrad</t>
  </si>
  <si>
    <t>←　radをdegに変換</t>
  </si>
  <si>
    <t>degをradに変換して計算</t>
  </si>
  <si>
    <t>最小二乗法</t>
  </si>
  <si>
    <t>材齢</t>
  </si>
  <si>
    <t>圧縮強度</t>
  </si>
  <si>
    <t>i=91であることから，d(91)=1になる。</t>
  </si>
  <si>
    <t>この式を最小二乗法に適用できるように変形する。</t>
  </si>
  <si>
    <t>とおく。</t>
  </si>
  <si>
    <t>次の一次式を得ることができる。</t>
  </si>
  <si>
    <r>
      <t>x</t>
    </r>
    <r>
      <rPr>
        <vertAlign val="subscript"/>
        <sz val="11"/>
        <rFont val="ＭＳ Ｐゴシック"/>
        <family val="3"/>
      </rPr>
      <t>i</t>
    </r>
  </si>
  <si>
    <r>
      <t>y</t>
    </r>
    <r>
      <rPr>
        <vertAlign val="subscript"/>
        <sz val="11"/>
        <rFont val="ＭＳ Ｐゴシック"/>
        <family val="3"/>
      </rPr>
      <t>i</t>
    </r>
  </si>
  <si>
    <r>
      <t>x</t>
    </r>
    <r>
      <rPr>
        <vertAlign val="subscript"/>
        <sz val="11"/>
        <rFont val="ＭＳ Ｐゴシック"/>
        <family val="3"/>
      </rPr>
      <t>i</t>
    </r>
    <r>
      <rPr>
        <vertAlign val="superscript"/>
        <sz val="11"/>
        <rFont val="ＭＳ Ｐゴシック"/>
        <family val="3"/>
      </rPr>
      <t>2</t>
    </r>
  </si>
  <si>
    <r>
      <t>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y</t>
    </r>
    <r>
      <rPr>
        <vertAlign val="subscript"/>
        <sz val="11"/>
        <rFont val="ＭＳ Ｐゴシック"/>
        <family val="3"/>
      </rPr>
      <t>i</t>
    </r>
  </si>
  <si>
    <t>計</t>
  </si>
  <si>
    <t>a</t>
  </si>
  <si>
    <t>b</t>
  </si>
  <si>
    <t>試し算</t>
  </si>
  <si>
    <t>推定圧縮強度</t>
  </si>
  <si>
    <t>差</t>
  </si>
  <si>
    <r>
      <t>設計基準強度(N/mm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</si>
  <si>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正規方程式</t>
  </si>
  <si>
    <t>上記の連立方程式をマトリックス表示し，ガウスの消去法で解く。</t>
  </si>
  <si>
    <t>第１行に掛け算する係数</t>
  </si>
  <si>
    <t>解=　</t>
  </si>
  <si>
    <t>xi</t>
  </si>
  <si>
    <t>f(xi)</t>
  </si>
  <si>
    <t>f'(xi)</t>
  </si>
  <si>
    <r>
      <t>x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-xi</t>
    </r>
  </si>
  <si>
    <r>
      <t>一つ目の解は</t>
    </r>
    <r>
      <rPr>
        <sz val="11"/>
        <rFont val="ＭＳ Ｐゴシック"/>
        <family val="3"/>
      </rPr>
      <t>x=1.0である．</t>
    </r>
  </si>
  <si>
    <r>
      <t>f(x)=x</t>
    </r>
    <r>
      <rPr>
        <vertAlign val="superscript"/>
        <sz val="11"/>
        <rFont val="ＭＳ Ｐゴシック"/>
        <family val="3"/>
      </rPr>
      <t>n</t>
    </r>
    <r>
      <rPr>
        <sz val="11"/>
        <rFont val="ＭＳ Ｐゴシック"/>
        <family val="3"/>
      </rPr>
      <t>+a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x</t>
    </r>
    <r>
      <rPr>
        <vertAlign val="superscript"/>
        <sz val="11"/>
        <rFont val="ＭＳ Ｐゴシック"/>
        <family val="3"/>
      </rPr>
      <t>n-1</t>
    </r>
    <r>
      <rPr>
        <sz val="11"/>
        <rFont val="ＭＳ Ｐゴシック"/>
        <family val="3"/>
      </rPr>
      <t>+a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x</t>
    </r>
    <r>
      <rPr>
        <vertAlign val="superscript"/>
        <sz val="11"/>
        <rFont val="ＭＳ Ｐゴシック"/>
        <family val="3"/>
      </rPr>
      <t>n-2</t>
    </r>
    <r>
      <rPr>
        <sz val="11"/>
        <rFont val="ＭＳ Ｐゴシック"/>
        <family val="3"/>
      </rPr>
      <t>・・・+a</t>
    </r>
    <r>
      <rPr>
        <vertAlign val="subscript"/>
        <sz val="11"/>
        <rFont val="ＭＳ Ｐゴシック"/>
        <family val="3"/>
      </rPr>
      <t>n-1</t>
    </r>
    <r>
      <rPr>
        <sz val="11"/>
        <rFont val="ＭＳ Ｐゴシック"/>
        <family val="3"/>
      </rPr>
      <t>x+a</t>
    </r>
    <r>
      <rPr>
        <vertAlign val="subscript"/>
        <sz val="11"/>
        <rFont val="ＭＳ Ｐゴシック"/>
        <family val="3"/>
      </rPr>
      <t>n</t>
    </r>
  </si>
  <si>
    <r>
      <t>g(x)=x</t>
    </r>
    <r>
      <rPr>
        <vertAlign val="superscript"/>
        <sz val="11"/>
        <rFont val="ＭＳ Ｐゴシック"/>
        <family val="3"/>
      </rPr>
      <t>n-1</t>
    </r>
    <r>
      <rPr>
        <sz val="11"/>
        <rFont val="ＭＳ Ｐゴシック"/>
        <family val="3"/>
      </rPr>
      <t>+b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x</t>
    </r>
    <r>
      <rPr>
        <vertAlign val="superscript"/>
        <sz val="11"/>
        <rFont val="ＭＳ Ｐゴシック"/>
        <family val="3"/>
      </rPr>
      <t>n-2</t>
    </r>
    <r>
      <rPr>
        <sz val="11"/>
        <rFont val="ＭＳ Ｐゴシック"/>
        <family val="3"/>
      </rPr>
      <t>+b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x</t>
    </r>
    <r>
      <rPr>
        <vertAlign val="superscript"/>
        <sz val="11"/>
        <rFont val="ＭＳ Ｐゴシック"/>
        <family val="3"/>
      </rPr>
      <t>n-3</t>
    </r>
    <r>
      <rPr>
        <sz val="11"/>
        <rFont val="ＭＳ Ｐゴシック"/>
        <family val="3"/>
      </rPr>
      <t>・・・b</t>
    </r>
    <r>
      <rPr>
        <vertAlign val="subscript"/>
        <sz val="11"/>
        <rFont val="ＭＳ Ｐゴシック"/>
        <family val="3"/>
      </rPr>
      <t>n-1</t>
    </r>
  </si>
  <si>
    <r>
      <t>b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=a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+x</t>
    </r>
    <r>
      <rPr>
        <vertAlign val="subscript"/>
        <sz val="11"/>
        <rFont val="ＭＳ Ｐゴシック"/>
        <family val="3"/>
      </rPr>
      <t>n</t>
    </r>
  </si>
  <si>
    <r>
      <t>b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=a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+b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n</t>
    </r>
  </si>
  <si>
    <r>
      <t>b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=a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+b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n</t>
    </r>
  </si>
  <si>
    <t>・・・</t>
  </si>
  <si>
    <r>
      <t>b</t>
    </r>
    <r>
      <rPr>
        <vertAlign val="subscript"/>
        <sz val="11"/>
        <rFont val="ＭＳ Ｐゴシック"/>
        <family val="3"/>
      </rPr>
      <t>n-1</t>
    </r>
    <r>
      <rPr>
        <sz val="11"/>
        <rFont val="ＭＳ Ｐゴシック"/>
        <family val="3"/>
      </rPr>
      <t>=a</t>
    </r>
    <r>
      <rPr>
        <vertAlign val="subscript"/>
        <sz val="11"/>
        <rFont val="ＭＳ Ｐゴシック"/>
        <family val="3"/>
      </rPr>
      <t>n-1</t>
    </r>
    <r>
      <rPr>
        <sz val="11"/>
        <rFont val="ＭＳ Ｐゴシック"/>
        <family val="3"/>
      </rPr>
      <t>+b</t>
    </r>
    <r>
      <rPr>
        <vertAlign val="subscript"/>
        <sz val="11"/>
        <rFont val="ＭＳ Ｐゴシック"/>
        <family val="3"/>
      </rPr>
      <t>n-2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n</t>
    </r>
  </si>
  <si>
    <r>
      <t>x</t>
    </r>
    <r>
      <rPr>
        <vertAlign val="subscript"/>
        <sz val="11"/>
        <rFont val="ＭＳ Ｐゴシック"/>
        <family val="3"/>
      </rPr>
      <t>n</t>
    </r>
    <r>
      <rPr>
        <sz val="11"/>
        <rFont val="ＭＳ Ｐゴシック"/>
        <family val="3"/>
      </rPr>
      <t>=</t>
    </r>
  </si>
  <si>
    <r>
      <t>a</t>
    </r>
    <r>
      <rPr>
        <vertAlign val="subscript"/>
        <sz val="11"/>
        <rFont val="ＭＳ Ｐゴシック"/>
        <family val="3"/>
      </rPr>
      <t>1</t>
    </r>
  </si>
  <si>
    <r>
      <t>a</t>
    </r>
    <r>
      <rPr>
        <vertAlign val="subscript"/>
        <sz val="11"/>
        <rFont val="ＭＳ Ｐゴシック"/>
        <family val="3"/>
      </rPr>
      <t>2</t>
    </r>
  </si>
  <si>
    <r>
      <t>a</t>
    </r>
    <r>
      <rPr>
        <vertAlign val="subscript"/>
        <sz val="11"/>
        <rFont val="ＭＳ Ｐゴシック"/>
        <family val="3"/>
      </rPr>
      <t>3</t>
    </r>
  </si>
  <si>
    <r>
      <t>a</t>
    </r>
    <r>
      <rPr>
        <vertAlign val="subscript"/>
        <sz val="11"/>
        <rFont val="ＭＳ Ｐゴシック"/>
        <family val="3"/>
      </rPr>
      <t>4</t>
    </r>
  </si>
  <si>
    <r>
      <t>f</t>
    </r>
    <r>
      <rPr>
        <sz val="11"/>
        <rFont val="ＭＳ Ｐゴシック"/>
        <family val="3"/>
      </rPr>
      <t>(x</t>
    </r>
    <r>
      <rPr>
        <sz val="11"/>
        <rFont val="ＭＳ Ｐゴシック"/>
        <family val="3"/>
      </rPr>
      <t>)=</t>
    </r>
  </si>
  <si>
    <r>
      <t>x</t>
    </r>
    <r>
      <rPr>
        <vertAlign val="superscript"/>
        <sz val="11"/>
        <rFont val="ＭＳ Ｐゴシック"/>
        <family val="3"/>
      </rPr>
      <t>4</t>
    </r>
  </si>
  <si>
    <r>
      <t>x</t>
    </r>
    <r>
      <rPr>
        <vertAlign val="superscript"/>
        <sz val="11"/>
        <rFont val="ＭＳ Ｐゴシック"/>
        <family val="3"/>
      </rPr>
      <t>3</t>
    </r>
  </si>
  <si>
    <r>
      <t>x</t>
    </r>
    <r>
      <rPr>
        <vertAlign val="superscript"/>
        <sz val="11"/>
        <rFont val="ＭＳ Ｐゴシック"/>
        <family val="3"/>
      </rPr>
      <t>2</t>
    </r>
  </si>
  <si>
    <t>x</t>
  </si>
  <si>
    <r>
      <t>b</t>
    </r>
    <r>
      <rPr>
        <vertAlign val="subscript"/>
        <sz val="11"/>
        <rFont val="ＭＳ Ｐゴシック"/>
        <family val="3"/>
      </rPr>
      <t>1</t>
    </r>
  </si>
  <si>
    <r>
      <t>b</t>
    </r>
    <r>
      <rPr>
        <vertAlign val="subscript"/>
        <sz val="11"/>
        <rFont val="ＭＳ Ｐゴシック"/>
        <family val="3"/>
      </rPr>
      <t>2</t>
    </r>
  </si>
  <si>
    <r>
      <t>b</t>
    </r>
    <r>
      <rPr>
        <vertAlign val="subscript"/>
        <sz val="11"/>
        <rFont val="ＭＳ Ｐゴシック"/>
        <family val="3"/>
      </rPr>
      <t>3</t>
    </r>
  </si>
  <si>
    <r>
      <t>g</t>
    </r>
    <r>
      <rPr>
        <sz val="11"/>
        <rFont val="ＭＳ Ｐゴシック"/>
        <family val="3"/>
      </rPr>
      <t>(x</t>
    </r>
    <r>
      <rPr>
        <sz val="11"/>
        <rFont val="ＭＳ Ｐゴシック"/>
        <family val="3"/>
      </rPr>
      <t>)=</t>
    </r>
  </si>
  <si>
    <t>g(xi)</t>
  </si>
  <si>
    <t>g'(xi)</t>
  </si>
  <si>
    <r>
      <t>g(x)=(x-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)h(x)</t>
    </r>
    <r>
      <rPr>
        <sz val="11"/>
        <rFont val="ＭＳ Ｐゴシック"/>
        <family val="3"/>
      </rPr>
      <t>となるh(x)を求める．</t>
    </r>
  </si>
  <si>
    <r>
      <t>x</t>
    </r>
    <r>
      <rPr>
        <vertAlign val="subscript"/>
        <sz val="11"/>
        <rFont val="ＭＳ Ｐゴシック"/>
        <family val="3"/>
      </rPr>
      <t>n</t>
    </r>
    <r>
      <rPr>
        <sz val="11"/>
        <rFont val="ＭＳ Ｐゴシック"/>
        <family val="3"/>
      </rPr>
      <t>=</t>
    </r>
  </si>
  <si>
    <r>
      <t>a</t>
    </r>
    <r>
      <rPr>
        <vertAlign val="subscript"/>
        <sz val="11"/>
        <rFont val="ＭＳ Ｐゴシック"/>
        <family val="3"/>
      </rPr>
      <t>1</t>
    </r>
  </si>
  <si>
    <r>
      <t>a</t>
    </r>
    <r>
      <rPr>
        <vertAlign val="subscript"/>
        <sz val="11"/>
        <rFont val="ＭＳ Ｐゴシック"/>
        <family val="3"/>
      </rPr>
      <t>2</t>
    </r>
  </si>
  <si>
    <r>
      <t>a</t>
    </r>
    <r>
      <rPr>
        <vertAlign val="subscript"/>
        <sz val="11"/>
        <rFont val="ＭＳ Ｐゴシック"/>
        <family val="3"/>
      </rPr>
      <t>3</t>
    </r>
  </si>
  <si>
    <r>
      <t>g</t>
    </r>
    <r>
      <rPr>
        <sz val="11"/>
        <rFont val="ＭＳ Ｐゴシック"/>
        <family val="3"/>
      </rPr>
      <t>(x</t>
    </r>
    <r>
      <rPr>
        <sz val="11"/>
        <rFont val="ＭＳ Ｐゴシック"/>
        <family val="3"/>
      </rPr>
      <t>)=</t>
    </r>
  </si>
  <si>
    <r>
      <t>x</t>
    </r>
    <r>
      <rPr>
        <vertAlign val="superscript"/>
        <sz val="11"/>
        <rFont val="ＭＳ Ｐゴシック"/>
        <family val="3"/>
      </rPr>
      <t>3</t>
    </r>
  </si>
  <si>
    <r>
      <t>x</t>
    </r>
    <r>
      <rPr>
        <vertAlign val="superscript"/>
        <sz val="11"/>
        <rFont val="ＭＳ Ｐゴシック"/>
        <family val="3"/>
      </rPr>
      <t>2</t>
    </r>
  </si>
  <si>
    <t>x</t>
  </si>
  <si>
    <r>
      <t>b</t>
    </r>
    <r>
      <rPr>
        <vertAlign val="subscript"/>
        <sz val="11"/>
        <rFont val="ＭＳ Ｐゴシック"/>
        <family val="3"/>
      </rPr>
      <t>1</t>
    </r>
  </si>
  <si>
    <r>
      <t>b</t>
    </r>
    <r>
      <rPr>
        <vertAlign val="subscript"/>
        <sz val="11"/>
        <rFont val="ＭＳ Ｐゴシック"/>
        <family val="3"/>
      </rPr>
      <t>2</t>
    </r>
  </si>
  <si>
    <r>
      <t>h</t>
    </r>
    <r>
      <rPr>
        <sz val="11"/>
        <rFont val="ＭＳ Ｐゴシック"/>
        <family val="3"/>
      </rPr>
      <t>(x</t>
    </r>
    <r>
      <rPr>
        <sz val="11"/>
        <rFont val="ＭＳ Ｐゴシック"/>
        <family val="3"/>
      </rPr>
      <t>)=</t>
    </r>
  </si>
  <si>
    <t>h(xi)</t>
  </si>
  <si>
    <t>h'(xi)</t>
  </si>
  <si>
    <r>
      <t>h(x)=(x</t>
    </r>
    <r>
      <rPr>
        <sz val="11"/>
        <rFont val="ＭＳ Ｐゴシック"/>
        <family val="3"/>
      </rPr>
      <t>+</t>
    </r>
    <r>
      <rPr>
        <sz val="11"/>
        <rFont val="ＭＳ Ｐゴシック"/>
        <family val="3"/>
      </rPr>
      <t>1)m(x)</t>
    </r>
    <r>
      <rPr>
        <sz val="11"/>
        <rFont val="ＭＳ Ｐゴシック"/>
        <family val="3"/>
      </rPr>
      <t>となるm(x)を求める．</t>
    </r>
  </si>
  <si>
    <r>
      <t>m</t>
    </r>
    <r>
      <rPr>
        <sz val="11"/>
        <rFont val="ＭＳ Ｐゴシック"/>
        <family val="3"/>
      </rPr>
      <t>(x</t>
    </r>
    <r>
      <rPr>
        <sz val="11"/>
        <rFont val="ＭＳ Ｐゴシック"/>
        <family val="3"/>
      </rPr>
      <t>)=</t>
    </r>
  </si>
  <si>
    <t>④第４解を求める．</t>
  </si>
  <si>
    <r>
      <t>x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=0.10</t>
    </r>
    <r>
      <rPr>
        <sz val="11"/>
        <rFont val="ＭＳ Ｐゴシック"/>
        <family val="3"/>
      </rPr>
      <t>，y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=0.10</t>
    </r>
  </si>
  <si>
    <r>
      <t>収束条件：</t>
    </r>
    <r>
      <rPr>
        <sz val="11"/>
        <rFont val="ＭＳ Ｐゴシック"/>
        <family val="3"/>
      </rPr>
      <t>e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=e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=10-4</t>
    </r>
  </si>
  <si>
    <t>i</t>
  </si>
  <si>
    <r>
      <t>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</si>
  <si>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y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(=y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</si>
  <si>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①</t>
  </si>
  <si>
    <t>②</t>
  </si>
  <si>
    <t>③</t>
  </si>
  <si>
    <t>④</t>
  </si>
  <si>
    <r>
      <t>f1(x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,y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)</t>
    </r>
  </si>
  <si>
    <r>
      <t>f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(x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,y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)</t>
    </r>
  </si>
  <si>
    <r>
      <t>h</t>
    </r>
    <r>
      <rPr>
        <sz val="11"/>
        <rFont val="ＭＳ Ｐゴシック"/>
        <family val="3"/>
      </rPr>
      <t>①+k②=-f1(xi,yi)</t>
    </r>
  </si>
  <si>
    <r>
      <t>h</t>
    </r>
    <r>
      <rPr>
        <sz val="11"/>
        <rFont val="ＭＳ Ｐゴシック"/>
        <family val="3"/>
      </rPr>
      <t>③+k④=-f2(xi,yi)</t>
    </r>
  </si>
  <si>
    <t>×</t>
  </si>
  <si>
    <t>h</t>
  </si>
  <si>
    <t>=</t>
  </si>
  <si>
    <t>←</t>
  </si>
  <si>
    <t>k</t>
  </si>
  <si>
    <t>←</t>
  </si>
  <si>
    <t>×</t>
  </si>
  <si>
    <t>h</t>
  </si>
  <si>
    <t>=</t>
  </si>
  <si>
    <t>k</t>
  </si>
  <si>
    <t>h=</t>
  </si>
  <si>
    <t>k=</t>
  </si>
  <si>
    <t>i</t>
  </si>
  <si>
    <r>
      <t>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</si>
  <si>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y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(=y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</si>
  <si>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x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(=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</si>
  <si>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y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(=y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</si>
  <si>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</si>
  <si>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y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(=y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</si>
  <si>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①</t>
  </si>
  <si>
    <t>②</t>
  </si>
  <si>
    <t>③</t>
  </si>
  <si>
    <t>④</t>
  </si>
  <si>
    <r>
      <t>f1(x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,y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)</t>
    </r>
  </si>
  <si>
    <r>
      <t>f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(x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,y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)</t>
    </r>
  </si>
  <si>
    <r>
      <t>h</t>
    </r>
    <r>
      <rPr>
        <sz val="11"/>
        <rFont val="ＭＳ Ｐゴシック"/>
        <family val="3"/>
      </rPr>
      <t>①+k②=-f1(xi,yi)</t>
    </r>
  </si>
  <si>
    <r>
      <t>h</t>
    </r>
    <r>
      <rPr>
        <sz val="11"/>
        <rFont val="ＭＳ Ｐゴシック"/>
        <family val="3"/>
      </rPr>
      <t>③+k④=-f2(xi,yi)</t>
    </r>
  </si>
  <si>
    <r>
      <t>x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(=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</si>
  <si>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y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(=y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</si>
  <si>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x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-x</t>
    </r>
    <r>
      <rPr>
        <vertAlign val="subscript"/>
        <sz val="11"/>
        <rFont val="ＭＳ Ｐゴシック"/>
        <family val="3"/>
      </rPr>
      <t>i</t>
    </r>
  </si>
  <si>
    <r>
      <t>y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-y</t>
    </r>
    <r>
      <rPr>
        <vertAlign val="subscript"/>
        <sz val="11"/>
        <rFont val="ＭＳ Ｐゴシック"/>
        <family val="3"/>
      </rPr>
      <t>i</t>
    </r>
  </si>
  <si>
    <r>
      <t>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</si>
  <si>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y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(=y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</si>
  <si>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x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(=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</si>
  <si>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y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(=y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</si>
  <si>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</si>
  <si>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y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(=y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</si>
  <si>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x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(=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</si>
  <si>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y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(=y</t>
    </r>
    <r>
      <rPr>
        <vertAlign val="subscript"/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</si>
  <si>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</si>
  <si>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y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(=y</t>
    </r>
    <r>
      <rPr>
        <vertAlign val="subscript"/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</si>
  <si>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x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(=</t>
    </r>
    <r>
      <rPr>
        <sz val="11"/>
        <rFont val="ＭＳ Ｐゴシック"/>
        <family val="3"/>
      </rPr>
      <t>x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</si>
  <si>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y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(=y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</si>
  <si>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↑</t>
  </si>
  <si>
    <t>解</t>
  </si>
  <si>
    <r>
      <t>収束条件：</t>
    </r>
    <r>
      <rPr>
        <sz val="11"/>
        <rFont val="ＭＳ Ｐゴシック"/>
        <family val="3"/>
      </rPr>
      <t>e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=e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=10</t>
    </r>
    <r>
      <rPr>
        <vertAlign val="superscript"/>
        <sz val="11"/>
        <rFont val="ＭＳ Ｐゴシック"/>
        <family val="3"/>
      </rPr>
      <t>-4</t>
    </r>
    <r>
      <rPr>
        <sz val="11"/>
        <rFont val="ＭＳ Ｐゴシック"/>
        <family val="3"/>
      </rPr>
      <t xml:space="preserve">
を満たす。</t>
    </r>
  </si>
  <si>
    <t>h=</t>
  </si>
  <si>
    <t>i</t>
  </si>
  <si>
    <r>
      <t>x</t>
    </r>
    <r>
      <rPr>
        <vertAlign val="subscript"/>
        <sz val="11"/>
        <rFont val="ＭＳ Ｐゴシック"/>
        <family val="3"/>
      </rPr>
      <t>i</t>
    </r>
  </si>
  <si>
    <r>
      <t>x</t>
    </r>
    <r>
      <rPr>
        <vertAlign val="subscript"/>
        <sz val="11"/>
        <rFont val="ＭＳ Ｐゴシック"/>
        <family val="3"/>
      </rPr>
      <t>i+1</t>
    </r>
  </si>
  <si>
    <r>
      <t>(x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+x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)/2</t>
    </r>
  </si>
  <si>
    <r>
      <t>f(x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)</t>
    </r>
  </si>
  <si>
    <r>
      <t>f(x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)</t>
    </r>
  </si>
  <si>
    <r>
      <t>f((x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+x</t>
    </r>
    <r>
      <rPr>
        <vertAlign val="subscript"/>
        <sz val="11"/>
        <rFont val="ＭＳ Ｐゴシック"/>
        <family val="3"/>
      </rPr>
      <t>i+1</t>
    </r>
    <r>
      <rPr>
        <sz val="11"/>
        <rFont val="ＭＳ Ｐゴシック"/>
        <family val="3"/>
      </rPr>
      <t>)/2)</t>
    </r>
  </si>
  <si>
    <t>fi(x)</t>
  </si>
  <si>
    <t>↑</t>
  </si>
  <si>
    <r>
      <t>x=0.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1.0</t>
    </r>
    <r>
      <rPr>
        <sz val="11"/>
        <rFont val="ＭＳ Ｐゴシック"/>
        <family val="3"/>
      </rPr>
      <t>，</t>
    </r>
    <r>
      <rPr>
        <sz val="11"/>
        <rFont val="ＭＳ Ｐゴシック"/>
        <family val="3"/>
      </rPr>
      <t>n=3</t>
    </r>
  </si>
  <si>
    <t>変数変換</t>
  </si>
  <si>
    <t>a=</t>
  </si>
  <si>
    <t>b=</t>
  </si>
  <si>
    <t>零点</t>
  </si>
  <si>
    <t>変数変換</t>
  </si>
  <si>
    <t>零点におけるyの値</t>
  </si>
  <si>
    <r>
      <t>z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</t>
    </r>
  </si>
  <si>
    <r>
      <t>x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</t>
    </r>
  </si>
  <si>
    <r>
      <t>y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</t>
    </r>
  </si>
  <si>
    <r>
      <t>z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</t>
    </r>
  </si>
  <si>
    <r>
      <t>x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</t>
    </r>
  </si>
  <si>
    <r>
      <t>y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</t>
    </r>
  </si>
  <si>
    <r>
      <t>z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=</t>
    </r>
  </si>
  <si>
    <r>
      <t>x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=</t>
    </r>
  </si>
  <si>
    <r>
      <t>y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=</t>
    </r>
  </si>
  <si>
    <r>
      <t>係数</t>
    </r>
    <r>
      <rPr>
        <vertAlign val="subscript"/>
        <sz val="11"/>
        <rFont val="ＭＳ Ｐゴシック"/>
        <family val="3"/>
      </rPr>
      <t>i</t>
    </r>
  </si>
  <si>
    <r>
      <t>y</t>
    </r>
    <r>
      <rPr>
        <vertAlign val="subscript"/>
        <sz val="11"/>
        <rFont val="ＭＳ Ｐゴシック"/>
        <family val="3"/>
      </rPr>
      <t>i</t>
    </r>
  </si>
  <si>
    <r>
      <t>係数</t>
    </r>
    <r>
      <rPr>
        <vertAlign val="subscript"/>
        <sz val="11"/>
        <rFont val="ＭＳ Ｐゴシック"/>
        <family val="3"/>
      </rPr>
      <t>i</t>
    </r>
    <r>
      <rPr>
        <sz val="11"/>
        <rFont val="ＭＳ Ｐゴシック"/>
        <family val="3"/>
      </rPr>
      <t>×y</t>
    </r>
    <r>
      <rPr>
        <vertAlign val="subscript"/>
        <sz val="11"/>
        <rFont val="ＭＳ Ｐゴシック"/>
        <family val="3"/>
      </rPr>
      <t>i</t>
    </r>
  </si>
  <si>
    <r>
      <t>dx=1/2dz</t>
    </r>
    <r>
      <rPr>
        <sz val="11"/>
        <rFont val="ＭＳ Ｐゴシック"/>
        <family val="3"/>
      </rPr>
      <t>であるので，最後に</t>
    </r>
    <r>
      <rPr>
        <sz val="11"/>
        <rFont val="ＭＳ Ｐゴシック"/>
        <family val="3"/>
      </rPr>
      <t>1/2を掛け算する。</t>
    </r>
  </si>
  <si>
    <r>
      <t>x=0.5</t>
    </r>
    <r>
      <rPr>
        <sz val="11"/>
        <rFont val="ＭＳ Ｐゴシック"/>
        <family val="3"/>
      </rPr>
      <t>～2.5，</t>
    </r>
    <r>
      <rPr>
        <sz val="11"/>
        <rFont val="ＭＳ Ｐゴシック"/>
        <family val="3"/>
      </rPr>
      <t>n=3</t>
    </r>
  </si>
  <si>
    <r>
      <t>dx=dz</t>
    </r>
    <r>
      <rPr>
        <sz val="11"/>
        <rFont val="ＭＳ Ｐゴシック"/>
        <family val="3"/>
      </rPr>
      <t>であるので，係数の</t>
    </r>
    <r>
      <rPr>
        <sz val="11"/>
        <rFont val="ＭＳ Ｐゴシック"/>
        <family val="3"/>
      </rPr>
      <t>掛け算はない。</t>
    </r>
  </si>
  <si>
    <t>3x+y=7</t>
  </si>
  <si>
    <t>x-4y=-2</t>
  </si>
  <si>
    <t>x</t>
  </si>
  <si>
    <t>y</t>
  </si>
  <si>
    <t>行＼列</t>
  </si>
  <si>
    <t>第２段階（符号を付ける．）</t>
  </si>
  <si>
    <t>+</t>
  </si>
  <si>
    <t>-</t>
  </si>
  <si>
    <t>i：行番号</t>
  </si>
  <si>
    <t>-</t>
  </si>
  <si>
    <t>+</t>
  </si>
  <si>
    <t>j：列番号</t>
  </si>
  <si>
    <t>x</t>
  </si>
  <si>
    <t>y</t>
  </si>
  <si>
    <t>x=</t>
  </si>
  <si>
    <t>y=</t>
  </si>
  <si>
    <t>4x-y+2z=15</t>
  </si>
  <si>
    <t>-x+2y+3z=5</t>
  </si>
  <si>
    <t>5x-7y+9z=8</t>
  </si>
  <si>
    <t>z</t>
  </si>
  <si>
    <t>+</t>
  </si>
  <si>
    <t>-</t>
  </si>
  <si>
    <t>z</t>
  </si>
  <si>
    <t>z=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</si>
</sst>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[&lt;=99999]000\-00;000\-0000"/>
    <numFmt numFmtId="178" formatCode="0.00_ "/>
    <numFmt numFmtId="179" formatCode="0.0000_ "/>
    <numFmt numFmtId="180" formatCode="0.0000_);[Red]\(0.0000\)"/>
    <numFmt numFmtId="181" formatCode="0_);[Red]\(0\)"/>
    <numFmt numFmtId="182" formatCode="0.000_);[Red]\(0.000\)"/>
    <numFmt numFmtId="183" formatCode="0.000_ "/>
    <numFmt numFmtId="184" formatCode="0.0_);[Red]\(0.0\)"/>
    <numFmt numFmtId="185" formatCode="0.00000000000000_);[Red]\(0.00000000000000\)"/>
    <numFmt numFmtId="186" formatCode="0.000000000000000_);[Red]\(0.000000000000000\)"/>
    <numFmt numFmtId="187" formatCode="0.000000_ "/>
    <numFmt numFmtId="188" formatCode="0.00_);[Red]\(0.00\)"/>
    <numFmt numFmtId="189" formatCode="0.00000_ "/>
    <numFmt numFmtId="190" formatCode="0.00000000000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  <font>
      <sz val="10"/>
      <name val="Century"/>
      <family val="1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vertAlign val="subscript"/>
      <sz val="11"/>
      <name val="ＭＳ Ｐゴシック"/>
      <family val="3"/>
    </font>
    <font>
      <u val="double"/>
      <sz val="11"/>
      <name val="ＭＳ Ｐゴシック"/>
      <family val="3"/>
    </font>
    <font>
      <sz val="14"/>
      <name val="HG創英角ｺﾞｼｯｸUB"/>
      <family val="3"/>
    </font>
    <font>
      <sz val="11"/>
      <color indexed="10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76" fontId="0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176" fontId="0" fillId="2" borderId="8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176" fontId="0" fillId="4" borderId="4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176" fontId="0" fillId="4" borderId="8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5" borderId="1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16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176" fontId="0" fillId="6" borderId="18" xfId="0" applyNumberFormat="1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176" fontId="0" fillId="6" borderId="8" xfId="0" applyNumberFormat="1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184" fontId="0" fillId="4" borderId="14" xfId="0" applyNumberFormat="1" applyFont="1" applyFill="1" applyBorder="1" applyAlignment="1">
      <alignment/>
    </xf>
    <xf numFmtId="0" fontId="0" fillId="7" borderId="14" xfId="0" applyFont="1" applyFill="1" applyBorder="1" applyAlignment="1">
      <alignment horizontal="center"/>
    </xf>
    <xf numFmtId="184" fontId="0" fillId="7" borderId="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8" borderId="24" xfId="0" applyNumberFormat="1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178" fontId="0" fillId="8" borderId="26" xfId="0" applyNumberFormat="1" applyFont="1" applyFill="1" applyBorder="1" applyAlignment="1">
      <alignment/>
    </xf>
    <xf numFmtId="179" fontId="0" fillId="8" borderId="4" xfId="0" applyNumberFormat="1" applyFont="1" applyFill="1" applyBorder="1" applyAlignment="1">
      <alignment/>
    </xf>
    <xf numFmtId="178" fontId="0" fillId="8" borderId="27" xfId="0" applyNumberFormat="1" applyFont="1" applyFill="1" applyBorder="1" applyAlignment="1">
      <alignment/>
    </xf>
    <xf numFmtId="179" fontId="0" fillId="8" borderId="6" xfId="0" applyNumberFormat="1" applyFont="1" applyFill="1" applyBorder="1" applyAlignment="1">
      <alignment/>
    </xf>
    <xf numFmtId="178" fontId="0" fillId="8" borderId="28" xfId="0" applyNumberFormat="1" applyFont="1" applyFill="1" applyBorder="1" applyAlignment="1">
      <alignment/>
    </xf>
    <xf numFmtId="179" fontId="0" fillId="8" borderId="8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8" fontId="0" fillId="9" borderId="0" xfId="0" applyNumberFormat="1" applyFont="1" applyFill="1" applyBorder="1" applyAlignment="1">
      <alignment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10" borderId="25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179" fontId="0" fillId="10" borderId="29" xfId="0" applyNumberFormat="1" applyFont="1" applyFill="1" applyBorder="1" applyAlignment="1">
      <alignment/>
    </xf>
    <xf numFmtId="179" fontId="0" fillId="8" borderId="29" xfId="0" applyNumberFormat="1" applyFont="1" applyFill="1" applyBorder="1" applyAlignment="1">
      <alignment/>
    </xf>
    <xf numFmtId="179" fontId="0" fillId="10" borderId="18" xfId="0" applyNumberFormat="1" applyFont="1" applyFill="1" applyBorder="1" applyAlignment="1">
      <alignment/>
    </xf>
    <xf numFmtId="179" fontId="0" fillId="10" borderId="27" xfId="0" applyNumberFormat="1" applyFont="1" applyFill="1" applyBorder="1" applyAlignment="1">
      <alignment/>
    </xf>
    <xf numFmtId="179" fontId="0" fillId="8" borderId="27" xfId="0" applyNumberFormat="1" applyFont="1" applyFill="1" applyBorder="1" applyAlignment="1">
      <alignment/>
    </xf>
    <xf numFmtId="179" fontId="0" fillId="10" borderId="6" xfId="0" applyNumberFormat="1" applyFont="1" applyFill="1" applyBorder="1" applyAlignment="1">
      <alignment/>
    </xf>
    <xf numFmtId="179" fontId="0" fillId="10" borderId="28" xfId="0" applyNumberFormat="1" applyFont="1" applyFill="1" applyBorder="1" applyAlignment="1">
      <alignment/>
    </xf>
    <xf numFmtId="179" fontId="0" fillId="8" borderId="28" xfId="0" applyNumberFormat="1" applyFont="1" applyFill="1" applyBorder="1" applyAlignment="1">
      <alignment/>
    </xf>
    <xf numFmtId="179" fontId="0" fillId="10" borderId="8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189" fontId="0" fillId="4" borderId="30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4" borderId="32" xfId="0" applyFont="1" applyFill="1" applyBorder="1" applyAlignment="1">
      <alignment horizontal="right"/>
    </xf>
    <xf numFmtId="0" fontId="0" fillId="4" borderId="4" xfId="0" applyFont="1" applyFill="1" applyBorder="1" applyAlignment="1">
      <alignment/>
    </xf>
    <xf numFmtId="0" fontId="0" fillId="4" borderId="33" xfId="0" applyFont="1" applyFill="1" applyBorder="1" applyAlignment="1">
      <alignment horizontal="right"/>
    </xf>
    <xf numFmtId="0" fontId="0" fillId="4" borderId="8" xfId="0" applyFont="1" applyFill="1" applyBorder="1" applyAlignment="1">
      <alignment/>
    </xf>
    <xf numFmtId="49" fontId="0" fillId="8" borderId="0" xfId="0" applyNumberFormat="1" applyFont="1" applyFill="1" applyAlignment="1">
      <alignment/>
    </xf>
    <xf numFmtId="0" fontId="0" fillId="3" borderId="0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right"/>
    </xf>
    <xf numFmtId="0" fontId="0" fillId="4" borderId="6" xfId="0" applyFont="1" applyFill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9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2" borderId="3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7" borderId="0" xfId="0" applyFont="1" applyFill="1" applyAlignment="1">
      <alignment horizontal="right"/>
    </xf>
    <xf numFmtId="0" fontId="0" fillId="6" borderId="0" xfId="0" applyFont="1" applyFill="1" applyAlignment="1">
      <alignment horizontal="right"/>
    </xf>
    <xf numFmtId="0" fontId="0" fillId="6" borderId="0" xfId="0" applyFont="1" applyFill="1" applyAlignment="1">
      <alignment/>
    </xf>
    <xf numFmtId="0" fontId="0" fillId="5" borderId="21" xfId="0" applyFont="1" applyFill="1" applyBorder="1" applyAlignment="1">
      <alignment/>
    </xf>
    <xf numFmtId="0" fontId="0" fillId="5" borderId="22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183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11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10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0" borderId="36" xfId="0" applyFont="1" applyFill="1" applyBorder="1" applyAlignment="1">
      <alignment/>
    </xf>
    <xf numFmtId="0" fontId="0" fillId="10" borderId="37" xfId="0" applyFont="1" applyFill="1" applyBorder="1" applyAlignment="1">
      <alignment/>
    </xf>
    <xf numFmtId="0" fontId="0" fillId="10" borderId="38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10" borderId="40" xfId="0" applyFont="1" applyFill="1" applyBorder="1" applyAlignment="1">
      <alignment/>
    </xf>
    <xf numFmtId="0" fontId="0" fillId="10" borderId="41" xfId="0" applyFont="1" applyFill="1" applyBorder="1" applyAlignment="1">
      <alignment/>
    </xf>
    <xf numFmtId="183" fontId="0" fillId="10" borderId="14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10" borderId="43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44" xfId="0" applyFont="1" applyFill="1" applyBorder="1" applyAlignment="1">
      <alignment/>
    </xf>
    <xf numFmtId="0" fontId="0" fillId="12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56" fontId="0" fillId="6" borderId="14" xfId="0" applyNumberFormat="1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10" borderId="45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center"/>
    </xf>
    <xf numFmtId="0" fontId="0" fillId="8" borderId="3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6" borderId="0" xfId="0" applyFill="1" applyAlignment="1">
      <alignment horizontal="right"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22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2" borderId="14" xfId="0" applyFill="1" applyBorder="1" applyAlignment="1">
      <alignment/>
    </xf>
    <xf numFmtId="182" fontId="0" fillId="3" borderId="12" xfId="0" applyNumberFormat="1" applyFont="1" applyFill="1" applyBorder="1" applyAlignment="1">
      <alignment horizontal="center"/>
    </xf>
    <xf numFmtId="183" fontId="0" fillId="3" borderId="13" xfId="0" applyNumberFormat="1" applyFont="1" applyFill="1" applyBorder="1" applyAlignment="1">
      <alignment horizontal="center"/>
    </xf>
    <xf numFmtId="183" fontId="0" fillId="3" borderId="12" xfId="0" applyNumberFormat="1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83" fontId="0" fillId="10" borderId="14" xfId="0" applyNumberFormat="1" applyFill="1" applyBorder="1" applyAlignment="1">
      <alignment horizontal="center"/>
    </xf>
    <xf numFmtId="182" fontId="0" fillId="10" borderId="14" xfId="0" applyNumberFormat="1" applyFill="1" applyBorder="1" applyAlignment="1">
      <alignment horizontal="center"/>
    </xf>
    <xf numFmtId="182" fontId="0" fillId="5" borderId="31" xfId="0" applyNumberFormat="1" applyFont="1" applyFill="1" applyBorder="1" applyAlignment="1">
      <alignment horizontal="center"/>
    </xf>
    <xf numFmtId="183" fontId="0" fillId="5" borderId="31" xfId="0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30" xfId="0" applyFont="1" applyFill="1" applyBorder="1" applyAlignment="1">
      <alignment/>
    </xf>
    <xf numFmtId="0" fontId="0" fillId="4" borderId="30" xfId="0" applyFont="1" applyFill="1" applyBorder="1" applyAlignment="1">
      <alignment horizontal="right"/>
    </xf>
    <xf numFmtId="176" fontId="0" fillId="6" borderId="14" xfId="0" applyNumberFormat="1" applyFill="1" applyBorder="1" applyAlignment="1">
      <alignment horizontal="center"/>
    </xf>
    <xf numFmtId="0" fontId="0" fillId="13" borderId="0" xfId="0" applyFill="1" applyAlignment="1">
      <alignment horizontal="right"/>
    </xf>
    <xf numFmtId="0" fontId="0" fillId="1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0" borderId="24" xfId="0" applyNumberFormat="1" applyFont="1" applyFill="1" applyBorder="1" applyAlignment="1">
      <alignment horizontal="center"/>
    </xf>
    <xf numFmtId="0" fontId="0" fillId="10" borderId="25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183" fontId="0" fillId="2" borderId="29" xfId="0" applyNumberFormat="1" applyFont="1" applyFill="1" applyBorder="1" applyAlignment="1">
      <alignment/>
    </xf>
    <xf numFmtId="183" fontId="0" fillId="10" borderId="29" xfId="0" applyNumberFormat="1" applyFont="1" applyFill="1" applyBorder="1" applyAlignment="1">
      <alignment/>
    </xf>
    <xf numFmtId="183" fontId="0" fillId="10" borderId="18" xfId="0" applyNumberFormat="1" applyFont="1" applyFill="1" applyBorder="1" applyAlignment="1">
      <alignment/>
    </xf>
    <xf numFmtId="187" fontId="0" fillId="11" borderId="16" xfId="0" applyNumberFormat="1" applyFont="1" applyFill="1" applyBorder="1" applyAlignment="1">
      <alignment/>
    </xf>
    <xf numFmtId="0" fontId="0" fillId="10" borderId="34" xfId="0" applyFont="1" applyFill="1" applyBorder="1" applyAlignment="1">
      <alignment horizontal="center"/>
    </xf>
    <xf numFmtId="183" fontId="0" fillId="10" borderId="27" xfId="0" applyNumberFormat="1" applyFont="1" applyFill="1" applyBorder="1" applyAlignment="1">
      <alignment/>
    </xf>
    <xf numFmtId="0" fontId="0" fillId="10" borderId="33" xfId="0" applyFont="1" applyFill="1" applyBorder="1" applyAlignment="1">
      <alignment horizontal="center"/>
    </xf>
    <xf numFmtId="183" fontId="0" fillId="10" borderId="28" xfId="0" applyNumberFormat="1" applyFont="1" applyFill="1" applyBorder="1" applyAlignment="1">
      <alignment/>
    </xf>
    <xf numFmtId="183" fontId="0" fillId="10" borderId="8" xfId="0" applyNumberFormat="1" applyFont="1" applyFill="1" applyBorder="1" applyAlignment="1">
      <alignment/>
    </xf>
    <xf numFmtId="187" fontId="0" fillId="11" borderId="19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14" borderId="39" xfId="0" applyFont="1" applyFill="1" applyBorder="1" applyAlignment="1">
      <alignment/>
    </xf>
    <xf numFmtId="0" fontId="0" fillId="14" borderId="43" xfId="0" applyFont="1" applyFill="1" applyBorder="1" applyAlignment="1">
      <alignment/>
    </xf>
    <xf numFmtId="0" fontId="0" fillId="14" borderId="36" xfId="0" applyFont="1" applyFill="1" applyBorder="1" applyAlignment="1">
      <alignment/>
    </xf>
    <xf numFmtId="0" fontId="0" fillId="14" borderId="40" xfId="0" applyFont="1" applyFill="1" applyBorder="1" applyAlignment="1">
      <alignment/>
    </xf>
    <xf numFmtId="0" fontId="0" fillId="14" borderId="0" xfId="0" applyFont="1" applyFill="1" applyBorder="1" applyAlignment="1">
      <alignment/>
    </xf>
    <xf numFmtId="0" fontId="0" fillId="14" borderId="37" xfId="0" applyFont="1" applyFill="1" applyBorder="1" applyAlignment="1">
      <alignment/>
    </xf>
    <xf numFmtId="0" fontId="0" fillId="14" borderId="41" xfId="0" applyFont="1" applyFill="1" applyBorder="1" applyAlignment="1">
      <alignment/>
    </xf>
    <xf numFmtId="0" fontId="0" fillId="14" borderId="44" xfId="0" applyFont="1" applyFill="1" applyBorder="1" applyAlignment="1">
      <alignment/>
    </xf>
    <xf numFmtId="0" fontId="0" fillId="14" borderId="38" xfId="0" applyFont="1" applyFill="1" applyBorder="1" applyAlignment="1">
      <alignment/>
    </xf>
    <xf numFmtId="0" fontId="0" fillId="4" borderId="46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15" borderId="22" xfId="0" applyFont="1" applyFill="1" applyBorder="1" applyAlignment="1">
      <alignment horizontal="center"/>
    </xf>
    <xf numFmtId="0" fontId="0" fillId="15" borderId="23" xfId="0" applyFont="1" applyFill="1" applyBorder="1" applyAlignment="1">
      <alignment horizontal="center"/>
    </xf>
    <xf numFmtId="0" fontId="0" fillId="10" borderId="32" xfId="0" applyFont="1" applyFill="1" applyBorder="1" applyAlignment="1">
      <alignment horizontal="center"/>
    </xf>
    <xf numFmtId="183" fontId="0" fillId="2" borderId="26" xfId="0" applyNumberFormat="1" applyFont="1" applyFill="1" applyBorder="1" applyAlignment="1">
      <alignment/>
    </xf>
    <xf numFmtId="183" fontId="0" fillId="10" borderId="26" xfId="0" applyNumberFormat="1" applyFont="1" applyFill="1" applyBorder="1" applyAlignment="1">
      <alignment/>
    </xf>
    <xf numFmtId="183" fontId="0" fillId="10" borderId="48" xfId="0" applyNumberFormat="1" applyFont="1" applyFill="1" applyBorder="1" applyAlignment="1">
      <alignment/>
    </xf>
    <xf numFmtId="187" fontId="0" fillId="11" borderId="49" xfId="0" applyNumberFormat="1" applyFont="1" applyFill="1" applyBorder="1" applyAlignment="1">
      <alignment/>
    </xf>
    <xf numFmtId="183" fontId="0" fillId="10" borderId="50" xfId="0" applyNumberFormat="1" applyFont="1" applyFill="1" applyBorder="1" applyAlignment="1">
      <alignment/>
    </xf>
    <xf numFmtId="0" fontId="0" fillId="10" borderId="51" xfId="0" applyFont="1" applyFill="1" applyBorder="1" applyAlignment="1">
      <alignment horizontal="center"/>
    </xf>
    <xf numFmtId="183" fontId="0" fillId="10" borderId="52" xfId="0" applyNumberFormat="1" applyFont="1" applyFill="1" applyBorder="1" applyAlignment="1">
      <alignment/>
    </xf>
    <xf numFmtId="183" fontId="0" fillId="10" borderId="53" xfId="0" applyNumberFormat="1" applyFont="1" applyFill="1" applyBorder="1" applyAlignment="1">
      <alignment/>
    </xf>
    <xf numFmtId="187" fontId="0" fillId="11" borderId="54" xfId="0" applyNumberFormat="1" applyFont="1" applyFill="1" applyBorder="1" applyAlignment="1">
      <alignment/>
    </xf>
    <xf numFmtId="183" fontId="0" fillId="10" borderId="55" xfId="0" applyNumberFormat="1" applyFont="1" applyFill="1" applyBorder="1" applyAlignment="1">
      <alignment/>
    </xf>
    <xf numFmtId="187" fontId="0" fillId="11" borderId="56" xfId="0" applyNumberFormat="1" applyFont="1" applyFill="1" applyBorder="1" applyAlignment="1">
      <alignment/>
    </xf>
    <xf numFmtId="183" fontId="0" fillId="10" borderId="57" xfId="0" applyNumberFormat="1" applyFont="1" applyFill="1" applyBorder="1" applyAlignment="1">
      <alignment/>
    </xf>
    <xf numFmtId="183" fontId="0" fillId="10" borderId="58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10" borderId="14" xfId="0" applyNumberFormat="1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180" fontId="0" fillId="2" borderId="14" xfId="0" applyNumberFormat="1" applyFont="1" applyFill="1" applyBorder="1" applyAlignment="1">
      <alignment horizontal="center"/>
    </xf>
    <xf numFmtId="180" fontId="0" fillId="10" borderId="14" xfId="0" applyNumberFormat="1" applyFont="1" applyFill="1" applyBorder="1" applyAlignment="1">
      <alignment horizontal="center"/>
    </xf>
    <xf numFmtId="179" fontId="0" fillId="10" borderId="14" xfId="0" applyNumberFormat="1" applyFont="1" applyFill="1" applyBorder="1" applyAlignment="1">
      <alignment horizontal="center"/>
    </xf>
    <xf numFmtId="180" fontId="0" fillId="3" borderId="12" xfId="0" applyNumberFormat="1" applyFont="1" applyFill="1" applyBorder="1" applyAlignment="1">
      <alignment horizontal="center"/>
    </xf>
    <xf numFmtId="180" fontId="0" fillId="3" borderId="13" xfId="0" applyNumberFormat="1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179" fontId="0" fillId="5" borderId="31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9" borderId="0" xfId="0" applyFont="1" applyFill="1" applyAlignment="1">
      <alignment/>
    </xf>
    <xf numFmtId="49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179" fontId="0" fillId="2" borderId="3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79" fontId="0" fillId="2" borderId="30" xfId="0" applyNumberFormat="1" applyFont="1" applyFill="1" applyBorder="1" applyAlignment="1">
      <alignment horizontal="right"/>
    </xf>
    <xf numFmtId="0" fontId="0" fillId="4" borderId="32" xfId="0" applyFont="1" applyFill="1" applyBorder="1" applyAlignment="1">
      <alignment horizontal="right"/>
    </xf>
    <xf numFmtId="179" fontId="0" fillId="4" borderId="4" xfId="0" applyNumberFormat="1" applyFont="1" applyFill="1" applyBorder="1" applyAlignment="1">
      <alignment/>
    </xf>
    <xf numFmtId="0" fontId="0" fillId="4" borderId="33" xfId="0" applyFont="1" applyFill="1" applyBorder="1" applyAlignment="1">
      <alignment horizontal="right"/>
    </xf>
    <xf numFmtId="179" fontId="0" fillId="4" borderId="8" xfId="0" applyNumberFormat="1" applyFont="1" applyFill="1" applyBorder="1" applyAlignment="1">
      <alignment/>
    </xf>
    <xf numFmtId="180" fontId="0" fillId="7" borderId="14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6" borderId="14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10" borderId="1" xfId="0" applyFont="1" applyFill="1" applyBorder="1" applyAlignment="1">
      <alignment horizontal="right"/>
    </xf>
    <xf numFmtId="0" fontId="0" fillId="10" borderId="30" xfId="0" applyFont="1" applyFill="1" applyBorder="1" applyAlignment="1">
      <alignment/>
    </xf>
    <xf numFmtId="0" fontId="0" fillId="7" borderId="1" xfId="0" applyFont="1" applyFill="1" applyBorder="1" applyAlignment="1">
      <alignment horizontal="right"/>
    </xf>
    <xf numFmtId="0" fontId="0" fillId="7" borderId="3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2" borderId="14" xfId="0" applyFont="1" applyFill="1" applyBorder="1" applyAlignment="1">
      <alignment horizontal="center"/>
    </xf>
    <xf numFmtId="188" fontId="0" fillId="2" borderId="14" xfId="0" applyNumberFormat="1" applyFont="1" applyFill="1" applyBorder="1" applyAlignment="1">
      <alignment horizontal="center"/>
    </xf>
    <xf numFmtId="189" fontId="0" fillId="2" borderId="14" xfId="0" applyNumberFormat="1" applyFont="1" applyFill="1" applyBorder="1" applyAlignment="1">
      <alignment/>
    </xf>
    <xf numFmtId="189" fontId="0" fillId="5" borderId="14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6" borderId="14" xfId="0" applyFont="1" applyFill="1" applyBorder="1" applyAlignment="1">
      <alignment horizontal="right"/>
    </xf>
    <xf numFmtId="176" fontId="0" fillId="6" borderId="14" xfId="0" applyNumberFormat="1" applyFont="1" applyFill="1" applyBorder="1" applyAlignment="1">
      <alignment horizontal="left"/>
    </xf>
    <xf numFmtId="0" fontId="0" fillId="5" borderId="14" xfId="0" applyFont="1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0" fillId="5" borderId="14" xfId="0" applyFont="1" applyFill="1" applyBorder="1" applyAlignment="1">
      <alignment/>
    </xf>
    <xf numFmtId="0" fontId="0" fillId="9" borderId="14" xfId="0" applyFont="1" applyFill="1" applyBorder="1" applyAlignment="1">
      <alignment horizontal="center"/>
    </xf>
    <xf numFmtId="189" fontId="0" fillId="9" borderId="14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189" fontId="0" fillId="4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left"/>
    </xf>
    <xf numFmtId="178" fontId="0" fillId="3" borderId="26" xfId="0" applyNumberFormat="1" applyFont="1" applyFill="1" applyBorder="1" applyAlignment="1">
      <alignment/>
    </xf>
    <xf numFmtId="178" fontId="0" fillId="3" borderId="4" xfId="0" applyNumberFormat="1" applyFont="1" applyFill="1" applyBorder="1" applyAlignment="1">
      <alignment/>
    </xf>
    <xf numFmtId="178" fontId="0" fillId="5" borderId="56" xfId="0" applyNumberFormat="1" applyFont="1" applyFill="1" applyBorder="1" applyAlignment="1">
      <alignment/>
    </xf>
    <xf numFmtId="178" fontId="0" fillId="3" borderId="59" xfId="0" applyNumberFormat="1" applyFont="1" applyFill="1" applyBorder="1" applyAlignment="1">
      <alignment/>
    </xf>
    <xf numFmtId="178" fontId="0" fillId="12" borderId="27" xfId="0" applyNumberFormat="1" applyFont="1" applyFill="1" applyBorder="1" applyAlignment="1">
      <alignment/>
    </xf>
    <xf numFmtId="178" fontId="0" fillId="5" borderId="49" xfId="0" applyNumberFormat="1" applyFont="1" applyFill="1" applyBorder="1" applyAlignment="1">
      <alignment/>
    </xf>
    <xf numFmtId="178" fontId="0" fillId="12" borderId="60" xfId="0" applyNumberFormat="1" applyFont="1" applyFill="1" applyBorder="1" applyAlignment="1">
      <alignment/>
    </xf>
    <xf numFmtId="178" fontId="0" fillId="3" borderId="27" xfId="0" applyNumberFormat="1" applyFont="1" applyFill="1" applyBorder="1" applyAlignment="1">
      <alignment/>
    </xf>
    <xf numFmtId="178" fontId="0" fillId="3" borderId="6" xfId="0" applyNumberFormat="1" applyFont="1" applyFill="1" applyBorder="1" applyAlignment="1">
      <alignment/>
    </xf>
    <xf numFmtId="178" fontId="0" fillId="5" borderId="19" xfId="0" applyNumberFormat="1" applyFont="1" applyFill="1" applyBorder="1" applyAlignment="1">
      <alignment/>
    </xf>
    <xf numFmtId="178" fontId="0" fillId="3" borderId="20" xfId="0" applyNumberFormat="1" applyFont="1" applyFill="1" applyBorder="1" applyAlignment="1">
      <alignment/>
    </xf>
    <xf numFmtId="178" fontId="0" fillId="3" borderId="28" xfId="0" applyNumberFormat="1" applyFont="1" applyFill="1" applyBorder="1" applyAlignment="1">
      <alignment/>
    </xf>
    <xf numFmtId="178" fontId="0" fillId="12" borderId="8" xfId="0" applyNumberFormat="1" applyFont="1" applyFill="1" applyBorder="1" applyAlignment="1">
      <alignment/>
    </xf>
    <xf numFmtId="178" fontId="0" fillId="7" borderId="35" xfId="0" applyNumberFormat="1" applyFont="1" applyFill="1" applyBorder="1" applyAlignment="1">
      <alignment horizontal="left"/>
    </xf>
    <xf numFmtId="0" fontId="0" fillId="10" borderId="12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10" borderId="2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4" borderId="4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49" fontId="0" fillId="8" borderId="0" xfId="0" applyNumberFormat="1" applyFont="1" applyFill="1" applyAlignment="1">
      <alignment/>
    </xf>
    <xf numFmtId="0" fontId="0" fillId="3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right"/>
    </xf>
    <xf numFmtId="0" fontId="0" fillId="4" borderId="6" xfId="0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9" borderId="3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0" fillId="5" borderId="13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0" fillId="2" borderId="1" xfId="0" applyFill="1" applyBorder="1" applyAlignment="1">
      <alignment horizontal="left" shrinkToFit="1"/>
    </xf>
    <xf numFmtId="0" fontId="0" fillId="2" borderId="30" xfId="0" applyFill="1" applyBorder="1" applyAlignment="1">
      <alignment horizontal="left" shrinkToFit="1"/>
    </xf>
    <xf numFmtId="176" fontId="0" fillId="6" borderId="14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4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'線形補間'!$B$4</c:f>
              <c:strCache>
                <c:ptCount val="1"/>
                <c:pt idx="0">
                  <c:v>ｙ値(℃)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'線形補間'!$A$5:$A$8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xVal>
          <c:yVal>
            <c:numRef>
              <c:f>'線形補間'!$B$5:$B$8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</c:numCache>
            </c:numRef>
          </c:yVal>
          <c:smooth val="0"/>
        </c:ser>
        <c:axId val="10796714"/>
        <c:axId val="30061563"/>
      </c:scatterChart>
      <c:valAx>
        <c:axId val="1079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方端からの距離（m）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30061563"/>
        <c:crosses val="autoZero"/>
        <c:crossBetween val="midCat"/>
        <c:dispUnits/>
      </c:valAx>
      <c:valAx>
        <c:axId val="3006156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79671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'線形補間'!$B$4</c:f>
              <c:strCache>
                <c:ptCount val="1"/>
                <c:pt idx="0">
                  <c:v>ｙ値(℃)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'線形補間'!$A$5:$A$8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xVal>
          <c:yVal>
            <c:numRef>
              <c:f>'線形補間'!$B$5:$B$8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'線形補間'!$A$26:$A$27</c:f>
              <c:numCache>
                <c:ptCount val="2"/>
                <c:pt idx="0">
                  <c:v>3.5</c:v>
                </c:pt>
                <c:pt idx="1">
                  <c:v>4.2</c:v>
                </c:pt>
              </c:numCache>
            </c:numRef>
          </c:xVal>
          <c:yVal>
            <c:numRef>
              <c:f>'線形補間'!$B$26:$B$27</c:f>
              <c:numCache>
                <c:ptCount val="2"/>
                <c:pt idx="0">
                  <c:v>7</c:v>
                </c:pt>
                <c:pt idx="1">
                  <c:v>11.200000000000001</c:v>
                </c:pt>
              </c:numCache>
            </c:numRef>
          </c:yVal>
          <c:smooth val="0"/>
        </c:ser>
        <c:axId val="2118612"/>
        <c:axId val="19067509"/>
      </c:scatterChart>
      <c:valAx>
        <c:axId val="21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方端からの距離（m）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19067509"/>
        <c:crosses val="autoZero"/>
        <c:crossBetween val="midCat"/>
        <c:dispUnits/>
      </c:valAx>
      <c:valAx>
        <c:axId val="1906750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18612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3425"/>
          <c:w val="0.89425"/>
          <c:h val="0.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'ラグランジェ補間'!$B$5:$B$8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'ラグランジェ補間'!$C$5:$C$8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'ラグランジェ補間'!$C$25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'ラグランジェ補間'!$E$25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7389854"/>
        <c:axId val="964367"/>
      </c:scatterChart>
      <c:valAx>
        <c:axId val="37389854"/>
        <c:scaling>
          <c:orientation val="minMax"/>
          <c:max val="3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964367"/>
        <c:crosses val="autoZero"/>
        <c:crossBetween val="midCat"/>
        <c:dispUnits/>
        <c:majorUnit val="1"/>
      </c:valAx>
      <c:valAx>
        <c:axId val="964367"/>
        <c:scaling>
          <c:orientation val="minMax"/>
          <c:max val="1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38985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Relationship Id="rId2" Type="http://schemas.openxmlformats.org/officeDocument/2006/relationships/image" Target="../media/image5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0.emf" /><Relationship Id="rId3" Type="http://schemas.openxmlformats.org/officeDocument/2006/relationships/image" Target="../media/image34.emf" /><Relationship Id="rId4" Type="http://schemas.openxmlformats.org/officeDocument/2006/relationships/image" Target="../media/image8.emf" /><Relationship Id="rId5" Type="http://schemas.openxmlformats.org/officeDocument/2006/relationships/image" Target="../media/image35.emf" /><Relationship Id="rId6" Type="http://schemas.openxmlformats.org/officeDocument/2006/relationships/image" Target="../media/image36.emf" /><Relationship Id="rId7" Type="http://schemas.openxmlformats.org/officeDocument/2006/relationships/image" Target="../media/image33.emf" /><Relationship Id="rId8" Type="http://schemas.openxmlformats.org/officeDocument/2006/relationships/image" Target="../media/image40.emf" /><Relationship Id="rId9" Type="http://schemas.openxmlformats.org/officeDocument/2006/relationships/image" Target="../media/image3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7.emf" /><Relationship Id="rId3" Type="http://schemas.openxmlformats.org/officeDocument/2006/relationships/image" Target="../media/image28.emf" /><Relationship Id="rId4" Type="http://schemas.openxmlformats.org/officeDocument/2006/relationships/image" Target="../media/image23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19.emf" /><Relationship Id="rId7" Type="http://schemas.openxmlformats.org/officeDocument/2006/relationships/image" Target="../media/image24.emf" /><Relationship Id="rId8" Type="http://schemas.openxmlformats.org/officeDocument/2006/relationships/image" Target="../media/image26.emf" /><Relationship Id="rId9" Type="http://schemas.openxmlformats.org/officeDocument/2006/relationships/image" Target="../media/image7.emf" /><Relationship Id="rId10" Type="http://schemas.openxmlformats.org/officeDocument/2006/relationships/image" Target="../media/image11.emf" /><Relationship Id="rId11" Type="http://schemas.openxmlformats.org/officeDocument/2006/relationships/image" Target="../media/image29.emf" /><Relationship Id="rId12" Type="http://schemas.openxmlformats.org/officeDocument/2006/relationships/image" Target="../media/image4.emf" /><Relationship Id="rId13" Type="http://schemas.openxmlformats.org/officeDocument/2006/relationships/image" Target="../media/image3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5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2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8.emf" /><Relationship Id="rId3" Type="http://schemas.openxmlformats.org/officeDocument/2006/relationships/image" Target="../media/image41.emf" /><Relationship Id="rId4" Type="http://schemas.openxmlformats.org/officeDocument/2006/relationships/image" Target="../media/image42.emf" /><Relationship Id="rId5" Type="http://schemas.openxmlformats.org/officeDocument/2006/relationships/image" Target="../media/image43.emf" /><Relationship Id="rId6" Type="http://schemas.openxmlformats.org/officeDocument/2006/relationships/image" Target="../media/image44.emf" /><Relationship Id="rId7" Type="http://schemas.openxmlformats.org/officeDocument/2006/relationships/image" Target="../media/image45.emf" /><Relationship Id="rId8" Type="http://schemas.openxmlformats.org/officeDocument/2006/relationships/image" Target="../media/image46.emf" /><Relationship Id="rId9" Type="http://schemas.openxmlformats.org/officeDocument/2006/relationships/image" Target="../media/image47.emf" /><Relationship Id="rId10" Type="http://schemas.openxmlformats.org/officeDocument/2006/relationships/image" Target="../media/image4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8</xdr:col>
      <xdr:colOff>304800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2057400" y="542925"/>
        <a:ext cx="37338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8</xdr:col>
      <xdr:colOff>314325</xdr:colOff>
      <xdr:row>39</xdr:row>
      <xdr:rowOff>133350</xdr:rowOff>
    </xdr:to>
    <xdr:graphicFrame>
      <xdr:nvGraphicFramePr>
        <xdr:cNvPr id="2" name="Chart 2"/>
        <xdr:cNvGraphicFramePr/>
      </xdr:nvGraphicFramePr>
      <xdr:xfrm>
        <a:off x="2057400" y="3990975"/>
        <a:ext cx="3743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0</xdr:rowOff>
    </xdr:from>
    <xdr:to>
      <xdr:col>8</xdr:col>
      <xdr:colOff>219075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133600" y="4543425"/>
        <a:ext cx="37814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152400</xdr:rowOff>
    </xdr:from>
    <xdr:to>
      <xdr:col>5</xdr:col>
      <xdr:colOff>0</xdr:colOff>
      <xdr:row>12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600200" y="714375"/>
          <a:ext cx="205740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12</xdr:row>
      <xdr:rowOff>76200</xdr:rowOff>
    </xdr:from>
    <xdr:to>
      <xdr:col>1</xdr:col>
      <xdr:colOff>609600</xdr:colOff>
      <xdr:row>13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276350" y="2181225"/>
          <a:ext cx="123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5</xdr:col>
      <xdr:colOff>95250</xdr:colOff>
      <xdr:row>12</xdr:row>
      <xdr:rowOff>85725</xdr:rowOff>
    </xdr:from>
    <xdr:to>
      <xdr:col>5</xdr:col>
      <xdr:colOff>314325</xdr:colOff>
      <xdr:row>13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52850" y="2190750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5</xdr:col>
      <xdr:colOff>85725</xdr:colOff>
      <xdr:row>3</xdr:row>
      <xdr:rowOff>38100</xdr:rowOff>
    </xdr:from>
    <xdr:to>
      <xdr:col>5</xdr:col>
      <xdr:colOff>266700</xdr:colOff>
      <xdr:row>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743325" y="600075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</xdr:col>
      <xdr:colOff>466725</xdr:colOff>
      <xdr:row>3</xdr:row>
      <xdr:rowOff>47625</xdr:rowOff>
    </xdr:from>
    <xdr:to>
      <xdr:col>1</xdr:col>
      <xdr:colOff>647700</xdr:colOff>
      <xdr:row>4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1257300" y="609600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676275" y="261937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</xdr:row>
      <xdr:rowOff>161925</xdr:rowOff>
    </xdr:from>
    <xdr:to>
      <xdr:col>0</xdr:col>
      <xdr:colOff>676275</xdr:colOff>
      <xdr:row>14</xdr:row>
      <xdr:rowOff>161925</xdr:rowOff>
    </xdr:to>
    <xdr:sp>
      <xdr:nvSpPr>
        <xdr:cNvPr id="7" name="Line 7"/>
        <xdr:cNvSpPr>
          <a:spLocks/>
        </xdr:cNvSpPr>
      </xdr:nvSpPr>
      <xdr:spPr>
        <a:xfrm flipV="1">
          <a:off x="676275" y="3810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1</xdr:row>
      <xdr:rowOff>95250</xdr:rowOff>
    </xdr:from>
    <xdr:to>
      <xdr:col>0</xdr:col>
      <xdr:colOff>666750</xdr:colOff>
      <xdr:row>2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466725" y="3143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y</a:t>
          </a:r>
        </a:p>
      </xdr:txBody>
    </xdr:sp>
    <xdr:clientData/>
  </xdr:twoCellAnchor>
  <xdr:twoCellAnchor>
    <xdr:from>
      <xdr:col>5</xdr:col>
      <xdr:colOff>628650</xdr:colOff>
      <xdr:row>15</xdr:row>
      <xdr:rowOff>95250</xdr:rowOff>
    </xdr:from>
    <xdr:to>
      <xdr:col>6</xdr:col>
      <xdr:colOff>123825</xdr:colOff>
      <xdr:row>16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4286250" y="2714625"/>
          <a:ext cx="247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x</a:t>
          </a:r>
        </a:p>
      </xdr:txBody>
    </xdr:sp>
    <xdr:clientData/>
  </xdr:twoCellAnchor>
  <xdr:twoCellAnchor>
    <xdr:from>
      <xdr:col>0</xdr:col>
      <xdr:colOff>485775</xdr:colOff>
      <xdr:row>15</xdr:row>
      <xdr:rowOff>19050</xdr:rowOff>
    </xdr:from>
    <xdr:to>
      <xdr:col>0</xdr:col>
      <xdr:colOff>723900</xdr:colOff>
      <xdr:row>16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485775" y="2638425"/>
          <a:ext cx="238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</xdr:col>
      <xdr:colOff>495300</xdr:colOff>
      <xdr:row>8</xdr:row>
      <xdr:rowOff>0</xdr:rowOff>
    </xdr:from>
    <xdr:to>
      <xdr:col>5</xdr:col>
      <xdr:colOff>466725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1285875" y="14192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</xdr:row>
      <xdr:rowOff>123825</xdr:rowOff>
    </xdr:from>
    <xdr:to>
      <xdr:col>3</xdr:col>
      <xdr:colOff>371475</xdr:colOff>
      <xdr:row>13</xdr:row>
      <xdr:rowOff>95250</xdr:rowOff>
    </xdr:to>
    <xdr:sp>
      <xdr:nvSpPr>
        <xdr:cNvPr id="12" name="Line 12"/>
        <xdr:cNvSpPr>
          <a:spLocks/>
        </xdr:cNvSpPr>
      </xdr:nvSpPr>
      <xdr:spPr>
        <a:xfrm flipV="1">
          <a:off x="2657475" y="514350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7</xdr:row>
      <xdr:rowOff>85725</xdr:rowOff>
    </xdr:from>
    <xdr:to>
      <xdr:col>6</xdr:col>
      <xdr:colOff>9525</xdr:colOff>
      <xdr:row>8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4152900" y="1333500"/>
          <a:ext cx="266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ξ</a:t>
          </a:r>
        </a:p>
      </xdr:txBody>
    </xdr:sp>
    <xdr:clientData/>
  </xdr:twoCellAnchor>
  <xdr:twoCellAnchor>
    <xdr:from>
      <xdr:col>3</xdr:col>
      <xdr:colOff>342900</xdr:colOff>
      <xdr:row>1</xdr:row>
      <xdr:rowOff>66675</xdr:rowOff>
    </xdr:from>
    <xdr:to>
      <xdr:col>3</xdr:col>
      <xdr:colOff>523875</xdr:colOff>
      <xdr:row>2</xdr:row>
      <xdr:rowOff>123825</xdr:rowOff>
    </xdr:to>
    <xdr:sp>
      <xdr:nvSpPr>
        <xdr:cNvPr id="14" name="Rectangle 14"/>
        <xdr:cNvSpPr>
          <a:spLocks/>
        </xdr:cNvSpPr>
      </xdr:nvSpPr>
      <xdr:spPr>
        <a:xfrm>
          <a:off x="2628900" y="285750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η</a:t>
          </a:r>
        </a:p>
      </xdr:txBody>
    </xdr:sp>
    <xdr:clientData/>
  </xdr:twoCellAnchor>
  <xdr:twoCellAnchor>
    <xdr:from>
      <xdr:col>1</xdr:col>
      <xdr:colOff>314325</xdr:colOff>
      <xdr:row>13</xdr:row>
      <xdr:rowOff>95250</xdr:rowOff>
    </xdr:from>
    <xdr:to>
      <xdr:col>2</xdr:col>
      <xdr:colOff>180975</xdr:colOff>
      <xdr:row>14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1104900" y="2371725"/>
          <a:ext cx="676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(-1,-1)</a:t>
          </a:r>
        </a:p>
      </xdr:txBody>
    </xdr:sp>
    <xdr:clientData/>
  </xdr:twoCellAnchor>
  <xdr:twoCellAnchor>
    <xdr:from>
      <xdr:col>5</xdr:col>
      <xdr:colOff>76200</xdr:colOff>
      <xdr:row>13</xdr:row>
      <xdr:rowOff>95250</xdr:rowOff>
    </xdr:from>
    <xdr:to>
      <xdr:col>5</xdr:col>
      <xdr:colOff>628650</xdr:colOff>
      <xdr:row>14</xdr:row>
      <xdr:rowOff>152400</xdr:rowOff>
    </xdr:to>
    <xdr:sp>
      <xdr:nvSpPr>
        <xdr:cNvPr id="16" name="Rectangle 16"/>
        <xdr:cNvSpPr>
          <a:spLocks/>
        </xdr:cNvSpPr>
      </xdr:nvSpPr>
      <xdr:spPr>
        <a:xfrm>
          <a:off x="3733800" y="2371725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(1,-1)</a:t>
          </a:r>
        </a:p>
      </xdr:txBody>
    </xdr:sp>
    <xdr:clientData/>
  </xdr:twoCellAnchor>
  <xdr:twoCellAnchor>
    <xdr:from>
      <xdr:col>5</xdr:col>
      <xdr:colOff>95250</xdr:colOff>
      <xdr:row>4</xdr:row>
      <xdr:rowOff>85725</xdr:rowOff>
    </xdr:from>
    <xdr:to>
      <xdr:col>5</xdr:col>
      <xdr:colOff>647700</xdr:colOff>
      <xdr:row>5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3752850" y="8191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(1,1)</a:t>
          </a:r>
        </a:p>
      </xdr:txBody>
    </xdr:sp>
    <xdr:clientData/>
  </xdr:twoCellAnchor>
  <xdr:twoCellAnchor>
    <xdr:from>
      <xdr:col>1</xdr:col>
      <xdr:colOff>133350</xdr:colOff>
      <xdr:row>4</xdr:row>
      <xdr:rowOff>95250</xdr:rowOff>
    </xdr:from>
    <xdr:to>
      <xdr:col>1</xdr:col>
      <xdr:colOff>600075</xdr:colOff>
      <xdr:row>5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923925" y="828675"/>
          <a:ext cx="466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(1,-1)</a:t>
          </a:r>
        </a:p>
      </xdr:txBody>
    </xdr:sp>
    <xdr:clientData/>
  </xdr:twoCellAnchor>
  <xdr:twoCellAnchor>
    <xdr:from>
      <xdr:col>2</xdr:col>
      <xdr:colOff>657225</xdr:colOff>
      <xdr:row>8</xdr:row>
      <xdr:rowOff>76200</xdr:rowOff>
    </xdr:from>
    <xdr:to>
      <xdr:col>3</xdr:col>
      <xdr:colOff>333375</xdr:colOff>
      <xdr:row>9</xdr:row>
      <xdr:rowOff>133350</xdr:rowOff>
    </xdr:to>
    <xdr:sp>
      <xdr:nvSpPr>
        <xdr:cNvPr id="19" name="Rectangle 19"/>
        <xdr:cNvSpPr>
          <a:spLocks/>
        </xdr:cNvSpPr>
      </xdr:nvSpPr>
      <xdr:spPr>
        <a:xfrm>
          <a:off x="2257425" y="1495425"/>
          <a:ext cx="361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(0,0)</a:t>
          </a:r>
        </a:p>
      </xdr:txBody>
    </xdr:sp>
    <xdr:clientData/>
  </xdr:twoCellAnchor>
  <xdr:twoCellAnchor>
    <xdr:from>
      <xdr:col>2</xdr:col>
      <xdr:colOff>0</xdr:colOff>
      <xdr:row>57</xdr:row>
      <xdr:rowOff>152400</xdr:rowOff>
    </xdr:from>
    <xdr:to>
      <xdr:col>5</xdr:col>
      <xdr:colOff>0</xdr:colOff>
      <xdr:row>66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600200" y="10172700"/>
          <a:ext cx="205740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66</xdr:row>
      <xdr:rowOff>76200</xdr:rowOff>
    </xdr:from>
    <xdr:to>
      <xdr:col>1</xdr:col>
      <xdr:colOff>609600</xdr:colOff>
      <xdr:row>67</xdr:row>
      <xdr:rowOff>133350</xdr:rowOff>
    </xdr:to>
    <xdr:sp>
      <xdr:nvSpPr>
        <xdr:cNvPr id="21" name="Rectangle 21"/>
        <xdr:cNvSpPr>
          <a:spLocks/>
        </xdr:cNvSpPr>
      </xdr:nvSpPr>
      <xdr:spPr>
        <a:xfrm>
          <a:off x="1276350" y="11639550"/>
          <a:ext cx="123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5</xdr:col>
      <xdr:colOff>95250</xdr:colOff>
      <xdr:row>66</xdr:row>
      <xdr:rowOff>85725</xdr:rowOff>
    </xdr:from>
    <xdr:to>
      <xdr:col>5</xdr:col>
      <xdr:colOff>304800</xdr:colOff>
      <xdr:row>67</xdr:row>
      <xdr:rowOff>142875</xdr:rowOff>
    </xdr:to>
    <xdr:sp>
      <xdr:nvSpPr>
        <xdr:cNvPr id="22" name="Rectangle 22"/>
        <xdr:cNvSpPr>
          <a:spLocks/>
        </xdr:cNvSpPr>
      </xdr:nvSpPr>
      <xdr:spPr>
        <a:xfrm>
          <a:off x="3752850" y="11649075"/>
          <a:ext cx="209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5</xdr:col>
      <xdr:colOff>85725</xdr:colOff>
      <xdr:row>57</xdr:row>
      <xdr:rowOff>38100</xdr:rowOff>
    </xdr:from>
    <xdr:to>
      <xdr:col>5</xdr:col>
      <xdr:colOff>257175</xdr:colOff>
      <xdr:row>58</xdr:row>
      <xdr:rowOff>95250</xdr:rowOff>
    </xdr:to>
    <xdr:sp>
      <xdr:nvSpPr>
        <xdr:cNvPr id="23" name="Rectangle 23"/>
        <xdr:cNvSpPr>
          <a:spLocks/>
        </xdr:cNvSpPr>
      </xdr:nvSpPr>
      <xdr:spPr>
        <a:xfrm>
          <a:off x="3743325" y="10058400"/>
          <a:ext cx="171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1</xdr:col>
      <xdr:colOff>466725</xdr:colOff>
      <xdr:row>57</xdr:row>
      <xdr:rowOff>47625</xdr:rowOff>
    </xdr:from>
    <xdr:to>
      <xdr:col>1</xdr:col>
      <xdr:colOff>647700</xdr:colOff>
      <xdr:row>58</xdr:row>
      <xdr:rowOff>104775</xdr:rowOff>
    </xdr:to>
    <xdr:sp>
      <xdr:nvSpPr>
        <xdr:cNvPr id="24" name="Rectangle 24"/>
        <xdr:cNvSpPr>
          <a:spLocks/>
        </xdr:cNvSpPr>
      </xdr:nvSpPr>
      <xdr:spPr>
        <a:xfrm>
          <a:off x="1257300" y="10067925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0</xdr:col>
      <xdr:colOff>676275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25" name="Line 25"/>
        <xdr:cNvSpPr>
          <a:spLocks/>
        </xdr:cNvSpPr>
      </xdr:nvSpPr>
      <xdr:spPr>
        <a:xfrm>
          <a:off x="676275" y="120777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161925</xdr:rowOff>
    </xdr:from>
    <xdr:to>
      <xdr:col>0</xdr:col>
      <xdr:colOff>676275</xdr:colOff>
      <xdr:row>68</xdr:row>
      <xdr:rowOff>161925</xdr:rowOff>
    </xdr:to>
    <xdr:sp>
      <xdr:nvSpPr>
        <xdr:cNvPr id="26" name="Line 26"/>
        <xdr:cNvSpPr>
          <a:spLocks/>
        </xdr:cNvSpPr>
      </xdr:nvSpPr>
      <xdr:spPr>
        <a:xfrm flipV="1">
          <a:off x="676275" y="98393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55</xdr:row>
      <xdr:rowOff>95250</xdr:rowOff>
    </xdr:from>
    <xdr:to>
      <xdr:col>0</xdr:col>
      <xdr:colOff>676275</xdr:colOff>
      <xdr:row>56</xdr:row>
      <xdr:rowOff>152400</xdr:rowOff>
    </xdr:to>
    <xdr:sp>
      <xdr:nvSpPr>
        <xdr:cNvPr id="27" name="Rectangle 27"/>
        <xdr:cNvSpPr>
          <a:spLocks/>
        </xdr:cNvSpPr>
      </xdr:nvSpPr>
      <xdr:spPr>
        <a:xfrm>
          <a:off x="466725" y="977265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y</a:t>
          </a:r>
        </a:p>
      </xdr:txBody>
    </xdr:sp>
    <xdr:clientData/>
  </xdr:twoCellAnchor>
  <xdr:twoCellAnchor>
    <xdr:from>
      <xdr:col>5</xdr:col>
      <xdr:colOff>628650</xdr:colOff>
      <xdr:row>69</xdr:row>
      <xdr:rowOff>95250</xdr:rowOff>
    </xdr:from>
    <xdr:to>
      <xdr:col>6</xdr:col>
      <xdr:colOff>152400</xdr:colOff>
      <xdr:row>70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4286250" y="121729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x</a:t>
          </a:r>
        </a:p>
      </xdr:txBody>
    </xdr:sp>
    <xdr:clientData/>
  </xdr:twoCellAnchor>
  <xdr:twoCellAnchor>
    <xdr:from>
      <xdr:col>0</xdr:col>
      <xdr:colOff>485775</xdr:colOff>
      <xdr:row>69</xdr:row>
      <xdr:rowOff>19050</xdr:rowOff>
    </xdr:from>
    <xdr:to>
      <xdr:col>0</xdr:col>
      <xdr:colOff>714375</xdr:colOff>
      <xdr:row>70</xdr:row>
      <xdr:rowOff>76200</xdr:rowOff>
    </xdr:to>
    <xdr:sp>
      <xdr:nvSpPr>
        <xdr:cNvPr id="29" name="Rectangle 29"/>
        <xdr:cNvSpPr>
          <a:spLocks/>
        </xdr:cNvSpPr>
      </xdr:nvSpPr>
      <xdr:spPr>
        <a:xfrm>
          <a:off x="485775" y="12096750"/>
          <a:ext cx="228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</xdr:col>
      <xdr:colOff>495300</xdr:colOff>
      <xdr:row>62</xdr:row>
      <xdr:rowOff>0</xdr:rowOff>
    </xdr:from>
    <xdr:to>
      <xdr:col>5</xdr:col>
      <xdr:colOff>466725</xdr:colOff>
      <xdr:row>62</xdr:row>
      <xdr:rowOff>0</xdr:rowOff>
    </xdr:to>
    <xdr:sp>
      <xdr:nvSpPr>
        <xdr:cNvPr id="30" name="Line 30"/>
        <xdr:cNvSpPr>
          <a:spLocks/>
        </xdr:cNvSpPr>
      </xdr:nvSpPr>
      <xdr:spPr>
        <a:xfrm>
          <a:off x="1285875" y="1087755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56</xdr:row>
      <xdr:rowOff>123825</xdr:rowOff>
    </xdr:from>
    <xdr:to>
      <xdr:col>3</xdr:col>
      <xdr:colOff>371475</xdr:colOff>
      <xdr:row>67</xdr:row>
      <xdr:rowOff>95250</xdr:rowOff>
    </xdr:to>
    <xdr:sp>
      <xdr:nvSpPr>
        <xdr:cNvPr id="31" name="Line 31"/>
        <xdr:cNvSpPr>
          <a:spLocks/>
        </xdr:cNvSpPr>
      </xdr:nvSpPr>
      <xdr:spPr>
        <a:xfrm flipV="1">
          <a:off x="2657475" y="997267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61</xdr:row>
      <xdr:rowOff>85725</xdr:rowOff>
    </xdr:from>
    <xdr:to>
      <xdr:col>6</xdr:col>
      <xdr:colOff>9525</xdr:colOff>
      <xdr:row>62</xdr:row>
      <xdr:rowOff>142875</xdr:rowOff>
    </xdr:to>
    <xdr:sp>
      <xdr:nvSpPr>
        <xdr:cNvPr id="32" name="Rectangle 32"/>
        <xdr:cNvSpPr>
          <a:spLocks/>
        </xdr:cNvSpPr>
      </xdr:nvSpPr>
      <xdr:spPr>
        <a:xfrm>
          <a:off x="4152900" y="10791825"/>
          <a:ext cx="266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ξ</a:t>
          </a:r>
        </a:p>
      </xdr:txBody>
    </xdr:sp>
    <xdr:clientData/>
  </xdr:twoCellAnchor>
  <xdr:twoCellAnchor>
    <xdr:from>
      <xdr:col>3</xdr:col>
      <xdr:colOff>342900</xdr:colOff>
      <xdr:row>55</xdr:row>
      <xdr:rowOff>66675</xdr:rowOff>
    </xdr:from>
    <xdr:to>
      <xdr:col>3</xdr:col>
      <xdr:colOff>523875</xdr:colOff>
      <xdr:row>56</xdr:row>
      <xdr:rowOff>123825</xdr:rowOff>
    </xdr:to>
    <xdr:sp>
      <xdr:nvSpPr>
        <xdr:cNvPr id="33" name="Rectangle 33"/>
        <xdr:cNvSpPr>
          <a:spLocks/>
        </xdr:cNvSpPr>
      </xdr:nvSpPr>
      <xdr:spPr>
        <a:xfrm>
          <a:off x="2628900" y="9744075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η</a:t>
          </a:r>
        </a:p>
      </xdr:txBody>
    </xdr:sp>
    <xdr:clientData/>
  </xdr:twoCellAnchor>
  <xdr:twoCellAnchor>
    <xdr:from>
      <xdr:col>1</xdr:col>
      <xdr:colOff>314325</xdr:colOff>
      <xdr:row>67</xdr:row>
      <xdr:rowOff>95250</xdr:rowOff>
    </xdr:from>
    <xdr:to>
      <xdr:col>2</xdr:col>
      <xdr:colOff>180975</xdr:colOff>
      <xdr:row>68</xdr:row>
      <xdr:rowOff>152400</xdr:rowOff>
    </xdr:to>
    <xdr:sp>
      <xdr:nvSpPr>
        <xdr:cNvPr id="34" name="Rectangle 34"/>
        <xdr:cNvSpPr>
          <a:spLocks/>
        </xdr:cNvSpPr>
      </xdr:nvSpPr>
      <xdr:spPr>
        <a:xfrm>
          <a:off x="1104900" y="11830050"/>
          <a:ext cx="676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(-1,-1)</a:t>
          </a:r>
        </a:p>
      </xdr:txBody>
    </xdr:sp>
    <xdr:clientData/>
  </xdr:twoCellAnchor>
  <xdr:twoCellAnchor>
    <xdr:from>
      <xdr:col>5</xdr:col>
      <xdr:colOff>76200</xdr:colOff>
      <xdr:row>67</xdr:row>
      <xdr:rowOff>95250</xdr:rowOff>
    </xdr:from>
    <xdr:to>
      <xdr:col>5</xdr:col>
      <xdr:colOff>628650</xdr:colOff>
      <xdr:row>68</xdr:row>
      <xdr:rowOff>152400</xdr:rowOff>
    </xdr:to>
    <xdr:sp>
      <xdr:nvSpPr>
        <xdr:cNvPr id="35" name="Rectangle 35"/>
        <xdr:cNvSpPr>
          <a:spLocks/>
        </xdr:cNvSpPr>
      </xdr:nvSpPr>
      <xdr:spPr>
        <a:xfrm>
          <a:off x="3733800" y="1183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(1,-1)</a:t>
          </a:r>
        </a:p>
      </xdr:txBody>
    </xdr:sp>
    <xdr:clientData/>
  </xdr:twoCellAnchor>
  <xdr:twoCellAnchor>
    <xdr:from>
      <xdr:col>5</xdr:col>
      <xdr:colOff>95250</xdr:colOff>
      <xdr:row>58</xdr:row>
      <xdr:rowOff>85725</xdr:rowOff>
    </xdr:from>
    <xdr:to>
      <xdr:col>5</xdr:col>
      <xdr:colOff>647700</xdr:colOff>
      <xdr:row>59</xdr:row>
      <xdr:rowOff>142875</xdr:rowOff>
    </xdr:to>
    <xdr:sp>
      <xdr:nvSpPr>
        <xdr:cNvPr id="36" name="Rectangle 36"/>
        <xdr:cNvSpPr>
          <a:spLocks/>
        </xdr:cNvSpPr>
      </xdr:nvSpPr>
      <xdr:spPr>
        <a:xfrm>
          <a:off x="3752850" y="10277475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(1,1)</a:t>
          </a:r>
        </a:p>
      </xdr:txBody>
    </xdr:sp>
    <xdr:clientData/>
  </xdr:twoCellAnchor>
  <xdr:twoCellAnchor>
    <xdr:from>
      <xdr:col>1</xdr:col>
      <xdr:colOff>133350</xdr:colOff>
      <xdr:row>58</xdr:row>
      <xdr:rowOff>95250</xdr:rowOff>
    </xdr:from>
    <xdr:to>
      <xdr:col>1</xdr:col>
      <xdr:colOff>600075</xdr:colOff>
      <xdr:row>59</xdr:row>
      <xdr:rowOff>152400</xdr:rowOff>
    </xdr:to>
    <xdr:sp>
      <xdr:nvSpPr>
        <xdr:cNvPr id="37" name="Rectangle 37"/>
        <xdr:cNvSpPr>
          <a:spLocks/>
        </xdr:cNvSpPr>
      </xdr:nvSpPr>
      <xdr:spPr>
        <a:xfrm>
          <a:off x="923925" y="10287000"/>
          <a:ext cx="466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(1,-1)</a:t>
          </a:r>
        </a:p>
      </xdr:txBody>
    </xdr:sp>
    <xdr:clientData/>
  </xdr:twoCellAnchor>
  <xdr:twoCellAnchor>
    <xdr:from>
      <xdr:col>2</xdr:col>
      <xdr:colOff>657225</xdr:colOff>
      <xdr:row>62</xdr:row>
      <xdr:rowOff>76200</xdr:rowOff>
    </xdr:from>
    <xdr:to>
      <xdr:col>3</xdr:col>
      <xdr:colOff>333375</xdr:colOff>
      <xdr:row>63</xdr:row>
      <xdr:rowOff>133350</xdr:rowOff>
    </xdr:to>
    <xdr:sp>
      <xdr:nvSpPr>
        <xdr:cNvPr id="38" name="Rectangle 38"/>
        <xdr:cNvSpPr>
          <a:spLocks/>
        </xdr:cNvSpPr>
      </xdr:nvSpPr>
      <xdr:spPr>
        <a:xfrm>
          <a:off x="2257425" y="10953750"/>
          <a:ext cx="361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(0,0)</a:t>
          </a:r>
        </a:p>
      </xdr:txBody>
    </xdr:sp>
    <xdr:clientData/>
  </xdr:twoCellAnchor>
  <xdr:twoCellAnchor>
    <xdr:from>
      <xdr:col>3</xdr:col>
      <xdr:colOff>152400</xdr:colOff>
      <xdr:row>67</xdr:row>
      <xdr:rowOff>76200</xdr:rowOff>
    </xdr:from>
    <xdr:to>
      <xdr:col>3</xdr:col>
      <xdr:colOff>333375</xdr:colOff>
      <xdr:row>68</xdr:row>
      <xdr:rowOff>133350</xdr:rowOff>
    </xdr:to>
    <xdr:sp>
      <xdr:nvSpPr>
        <xdr:cNvPr id="39" name="Rectangle 39"/>
        <xdr:cNvSpPr>
          <a:spLocks/>
        </xdr:cNvSpPr>
      </xdr:nvSpPr>
      <xdr:spPr>
        <a:xfrm>
          <a:off x="2438400" y="11811000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5</xdr:col>
      <xdr:colOff>123825</xdr:colOff>
      <xdr:row>62</xdr:row>
      <xdr:rowOff>57150</xdr:rowOff>
    </xdr:from>
    <xdr:to>
      <xdr:col>5</xdr:col>
      <xdr:colOff>276225</xdr:colOff>
      <xdr:row>63</xdr:row>
      <xdr:rowOff>114300</xdr:rowOff>
    </xdr:to>
    <xdr:sp>
      <xdr:nvSpPr>
        <xdr:cNvPr id="40" name="Rectangle 40"/>
        <xdr:cNvSpPr>
          <a:spLocks/>
        </xdr:cNvSpPr>
      </xdr:nvSpPr>
      <xdr:spPr>
        <a:xfrm>
          <a:off x="3781425" y="10934700"/>
          <a:ext cx="152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3</xdr:col>
      <xdr:colOff>523875</xdr:colOff>
      <xdr:row>56</xdr:row>
      <xdr:rowOff>85725</xdr:rowOff>
    </xdr:from>
    <xdr:to>
      <xdr:col>4</xdr:col>
      <xdr:colOff>28575</xdr:colOff>
      <xdr:row>57</xdr:row>
      <xdr:rowOff>142875</xdr:rowOff>
    </xdr:to>
    <xdr:sp>
      <xdr:nvSpPr>
        <xdr:cNvPr id="41" name="Rectangle 41"/>
        <xdr:cNvSpPr>
          <a:spLocks/>
        </xdr:cNvSpPr>
      </xdr:nvSpPr>
      <xdr:spPr>
        <a:xfrm>
          <a:off x="2809875" y="9934575"/>
          <a:ext cx="190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  <xdr:twoCellAnchor>
    <xdr:from>
      <xdr:col>1</xdr:col>
      <xdr:colOff>438150</xdr:colOff>
      <xdr:row>62</xdr:row>
      <xdr:rowOff>19050</xdr:rowOff>
    </xdr:from>
    <xdr:to>
      <xdr:col>1</xdr:col>
      <xdr:colOff>609600</xdr:colOff>
      <xdr:row>63</xdr:row>
      <xdr:rowOff>76200</xdr:rowOff>
    </xdr:to>
    <xdr:sp>
      <xdr:nvSpPr>
        <xdr:cNvPr id="42" name="Rectangle 42"/>
        <xdr:cNvSpPr>
          <a:spLocks/>
        </xdr:cNvSpPr>
      </xdr:nvSpPr>
      <xdr:spPr>
        <a:xfrm>
          <a:off x="1228725" y="10896600"/>
          <a:ext cx="171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15</xdr:row>
      <xdr:rowOff>152400</xdr:rowOff>
    </xdr:from>
    <xdr:to>
      <xdr:col>1</xdr:col>
      <xdr:colOff>609600</xdr:colOff>
      <xdr:row>17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1171575" y="2771775"/>
          <a:ext cx="123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600075</xdr:colOff>
      <xdr:row>15</xdr:row>
      <xdr:rowOff>171450</xdr:rowOff>
    </xdr:from>
    <xdr:to>
      <xdr:col>5</xdr:col>
      <xdr:colOff>85725</xdr:colOff>
      <xdr:row>17</xdr:row>
      <xdr:rowOff>47625</xdr:rowOff>
    </xdr:to>
    <xdr:sp>
      <xdr:nvSpPr>
        <xdr:cNvPr id="2" name="Rectangle 3"/>
        <xdr:cNvSpPr>
          <a:spLocks/>
        </xdr:cNvSpPr>
      </xdr:nvSpPr>
      <xdr:spPr>
        <a:xfrm>
          <a:off x="3343275" y="2790825"/>
          <a:ext cx="171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28575</xdr:colOff>
      <xdr:row>11</xdr:row>
      <xdr:rowOff>171450</xdr:rowOff>
    </xdr:from>
    <xdr:to>
      <xdr:col>6</xdr:col>
      <xdr:colOff>219075</xdr:colOff>
      <xdr:row>13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4143375" y="2105025"/>
          <a:ext cx="190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514350</xdr:colOff>
      <xdr:row>12</xdr:row>
      <xdr:rowOff>95250</xdr:rowOff>
    </xdr:from>
    <xdr:to>
      <xdr:col>2</xdr:col>
      <xdr:colOff>676275</xdr:colOff>
      <xdr:row>13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1885950" y="2200275"/>
          <a:ext cx="161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</xdr:col>
      <xdr:colOff>9525</xdr:colOff>
      <xdr:row>17</xdr:row>
      <xdr:rowOff>161925</xdr:rowOff>
    </xdr:from>
    <xdr:to>
      <xdr:col>6</xdr:col>
      <xdr:colOff>19050</xdr:colOff>
      <xdr:row>17</xdr:row>
      <xdr:rowOff>161925</xdr:rowOff>
    </xdr:to>
    <xdr:sp>
      <xdr:nvSpPr>
        <xdr:cNvPr id="5" name="Line 6"/>
        <xdr:cNvSpPr>
          <a:spLocks/>
        </xdr:cNvSpPr>
      </xdr:nvSpPr>
      <xdr:spPr>
        <a:xfrm>
          <a:off x="695325" y="312420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</xdr:row>
      <xdr:rowOff>161925</xdr:rowOff>
    </xdr:from>
    <xdr:to>
      <xdr:col>1</xdr:col>
      <xdr:colOff>9525</xdr:colOff>
      <xdr:row>17</xdr:row>
      <xdr:rowOff>161925</xdr:rowOff>
    </xdr:to>
    <xdr:sp>
      <xdr:nvSpPr>
        <xdr:cNvPr id="6" name="Line 7"/>
        <xdr:cNvSpPr>
          <a:spLocks/>
        </xdr:cNvSpPr>
      </xdr:nvSpPr>
      <xdr:spPr>
        <a:xfrm flipH="1" flipV="1">
          <a:off x="676275" y="381000"/>
          <a:ext cx="190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1</xdr:row>
      <xdr:rowOff>95250</xdr:rowOff>
    </xdr:from>
    <xdr:to>
      <xdr:col>1</xdr:col>
      <xdr:colOff>9525</xdr:colOff>
      <xdr:row>2</xdr:row>
      <xdr:rowOff>152400</xdr:rowOff>
    </xdr:to>
    <xdr:sp>
      <xdr:nvSpPr>
        <xdr:cNvPr id="7" name="Rectangle 8"/>
        <xdr:cNvSpPr>
          <a:spLocks/>
        </xdr:cNvSpPr>
      </xdr:nvSpPr>
      <xdr:spPr>
        <a:xfrm>
          <a:off x="466725" y="3143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y</a:t>
          </a:r>
        </a:p>
      </xdr:txBody>
    </xdr:sp>
    <xdr:clientData/>
  </xdr:twoCellAnchor>
  <xdr:twoCellAnchor>
    <xdr:from>
      <xdr:col>6</xdr:col>
      <xdr:colOff>38100</xdr:colOff>
      <xdr:row>18</xdr:row>
      <xdr:rowOff>9525</xdr:rowOff>
    </xdr:from>
    <xdr:to>
      <xdr:col>6</xdr:col>
      <xdr:colOff>304800</xdr:colOff>
      <xdr:row>19</xdr:row>
      <xdr:rowOff>76200</xdr:rowOff>
    </xdr:to>
    <xdr:sp>
      <xdr:nvSpPr>
        <xdr:cNvPr id="8" name="Rectangle 9"/>
        <xdr:cNvSpPr>
          <a:spLocks/>
        </xdr:cNvSpPr>
      </xdr:nvSpPr>
      <xdr:spPr>
        <a:xfrm>
          <a:off x="4152900" y="3143250"/>
          <a:ext cx="266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x</a:t>
          </a:r>
        </a:p>
      </xdr:txBody>
    </xdr:sp>
    <xdr:clientData/>
  </xdr:twoCellAnchor>
  <xdr:twoCellAnchor>
    <xdr:from>
      <xdr:col>0</xdr:col>
      <xdr:colOff>390525</xdr:colOff>
      <xdr:row>16</xdr:row>
      <xdr:rowOff>161925</xdr:rowOff>
    </xdr:from>
    <xdr:to>
      <xdr:col>0</xdr:col>
      <xdr:colOff>647700</xdr:colOff>
      <xdr:row>18</xdr:row>
      <xdr:rowOff>47625</xdr:rowOff>
    </xdr:to>
    <xdr:sp>
      <xdr:nvSpPr>
        <xdr:cNvPr id="9" name="Rectangle 10"/>
        <xdr:cNvSpPr>
          <a:spLocks/>
        </xdr:cNvSpPr>
      </xdr:nvSpPr>
      <xdr:spPr>
        <a:xfrm>
          <a:off x="390525" y="2952750"/>
          <a:ext cx="257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</xdr:col>
      <xdr:colOff>66675</xdr:colOff>
      <xdr:row>8</xdr:row>
      <xdr:rowOff>9525</xdr:rowOff>
    </xdr:from>
    <xdr:to>
      <xdr:col>5</xdr:col>
      <xdr:colOff>542925</xdr:colOff>
      <xdr:row>8</xdr:row>
      <xdr:rowOff>9525</xdr:rowOff>
    </xdr:to>
    <xdr:sp>
      <xdr:nvSpPr>
        <xdr:cNvPr id="10" name="Line 11"/>
        <xdr:cNvSpPr>
          <a:spLocks/>
        </xdr:cNvSpPr>
      </xdr:nvSpPr>
      <xdr:spPr>
        <a:xfrm>
          <a:off x="2124075" y="14287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85725</xdr:rowOff>
    </xdr:from>
    <xdr:to>
      <xdr:col>4</xdr:col>
      <xdr:colOff>47625</xdr:colOff>
      <xdr:row>13</xdr:row>
      <xdr:rowOff>123825</xdr:rowOff>
    </xdr:to>
    <xdr:sp>
      <xdr:nvSpPr>
        <xdr:cNvPr id="11" name="Line 12"/>
        <xdr:cNvSpPr>
          <a:spLocks/>
        </xdr:cNvSpPr>
      </xdr:nvSpPr>
      <xdr:spPr>
        <a:xfrm flipV="1">
          <a:off x="2790825" y="81915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114300</xdr:rowOff>
    </xdr:from>
    <xdr:to>
      <xdr:col>5</xdr:col>
      <xdr:colOff>542925</xdr:colOff>
      <xdr:row>9</xdr:row>
      <xdr:rowOff>171450</xdr:rowOff>
    </xdr:to>
    <xdr:sp>
      <xdr:nvSpPr>
        <xdr:cNvPr id="12" name="Rectangle 13"/>
        <xdr:cNvSpPr>
          <a:spLocks/>
        </xdr:cNvSpPr>
      </xdr:nvSpPr>
      <xdr:spPr>
        <a:xfrm>
          <a:off x="3771900" y="1533525"/>
          <a:ext cx="200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ξ</a:t>
          </a:r>
        </a:p>
      </xdr:txBody>
    </xdr:sp>
    <xdr:clientData/>
  </xdr:twoCellAnchor>
  <xdr:twoCellAnchor>
    <xdr:from>
      <xdr:col>4</xdr:col>
      <xdr:colOff>114300</xdr:colOff>
      <xdr:row>3</xdr:row>
      <xdr:rowOff>95250</xdr:rowOff>
    </xdr:from>
    <xdr:to>
      <xdr:col>4</xdr:col>
      <xdr:colOff>295275</xdr:colOff>
      <xdr:row>4</xdr:row>
      <xdr:rowOff>152400</xdr:rowOff>
    </xdr:to>
    <xdr:sp>
      <xdr:nvSpPr>
        <xdr:cNvPr id="13" name="Rectangle 14"/>
        <xdr:cNvSpPr>
          <a:spLocks/>
        </xdr:cNvSpPr>
      </xdr:nvSpPr>
      <xdr:spPr>
        <a:xfrm>
          <a:off x="2857500" y="657225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η</a:t>
          </a:r>
        </a:p>
      </xdr:txBody>
    </xdr:sp>
    <xdr:clientData/>
  </xdr:twoCellAnchor>
  <xdr:twoCellAnchor>
    <xdr:from>
      <xdr:col>1</xdr:col>
      <xdr:colOff>619125</xdr:colOff>
      <xdr:row>16</xdr:row>
      <xdr:rowOff>85725</xdr:rowOff>
    </xdr:from>
    <xdr:to>
      <xdr:col>3</xdr:col>
      <xdr:colOff>38100</xdr:colOff>
      <xdr:row>17</xdr:row>
      <xdr:rowOff>142875</xdr:rowOff>
    </xdr:to>
    <xdr:sp>
      <xdr:nvSpPr>
        <xdr:cNvPr id="14" name="Rectangle 15"/>
        <xdr:cNvSpPr>
          <a:spLocks/>
        </xdr:cNvSpPr>
      </xdr:nvSpPr>
      <xdr:spPr>
        <a:xfrm>
          <a:off x="1304925" y="2876550"/>
          <a:ext cx="790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(-1,-1,-1)</a:t>
          </a:r>
        </a:p>
      </xdr:txBody>
    </xdr:sp>
    <xdr:clientData/>
  </xdr:twoCellAnchor>
  <xdr:twoCellAnchor>
    <xdr:from>
      <xdr:col>5</xdr:col>
      <xdr:colOff>133350</xdr:colOff>
      <xdr:row>16</xdr:row>
      <xdr:rowOff>38100</xdr:rowOff>
    </xdr:from>
    <xdr:to>
      <xdr:col>6</xdr:col>
      <xdr:colOff>200025</xdr:colOff>
      <xdr:row>17</xdr:row>
      <xdr:rowOff>95250</xdr:rowOff>
    </xdr:to>
    <xdr:sp>
      <xdr:nvSpPr>
        <xdr:cNvPr id="15" name="Rectangle 16"/>
        <xdr:cNvSpPr>
          <a:spLocks/>
        </xdr:cNvSpPr>
      </xdr:nvSpPr>
      <xdr:spPr>
        <a:xfrm>
          <a:off x="3562350" y="2828925"/>
          <a:ext cx="752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(1,-1,-1)</a:t>
          </a:r>
        </a:p>
      </xdr:txBody>
    </xdr:sp>
    <xdr:clientData/>
  </xdr:twoCellAnchor>
  <xdr:twoCellAnchor>
    <xdr:from>
      <xdr:col>6</xdr:col>
      <xdr:colOff>247650</xdr:colOff>
      <xdr:row>12</xdr:row>
      <xdr:rowOff>28575</xdr:rowOff>
    </xdr:from>
    <xdr:to>
      <xdr:col>7</xdr:col>
      <xdr:colOff>114300</xdr:colOff>
      <xdr:row>13</xdr:row>
      <xdr:rowOff>85725</xdr:rowOff>
    </xdr:to>
    <xdr:sp>
      <xdr:nvSpPr>
        <xdr:cNvPr id="16" name="Rectangle 17"/>
        <xdr:cNvSpPr>
          <a:spLocks/>
        </xdr:cNvSpPr>
      </xdr:nvSpPr>
      <xdr:spPr>
        <a:xfrm>
          <a:off x="4362450" y="213360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(1,1,-1)</a:t>
          </a:r>
        </a:p>
      </xdr:txBody>
    </xdr:sp>
    <xdr:clientData/>
  </xdr:twoCellAnchor>
  <xdr:twoCellAnchor>
    <xdr:from>
      <xdr:col>1</xdr:col>
      <xdr:colOff>628650</xdr:colOff>
      <xdr:row>1</xdr:row>
      <xdr:rowOff>142875</xdr:rowOff>
    </xdr:from>
    <xdr:to>
      <xdr:col>5</xdr:col>
      <xdr:colOff>638175</xdr:colOff>
      <xdr:row>15</xdr:row>
      <xdr:rowOff>171450</xdr:rowOff>
    </xdr:to>
    <xdr:sp>
      <xdr:nvSpPr>
        <xdr:cNvPr id="17" name="AutoShape 20"/>
        <xdr:cNvSpPr>
          <a:spLocks/>
        </xdr:cNvSpPr>
      </xdr:nvSpPr>
      <xdr:spPr>
        <a:xfrm>
          <a:off x="1314450" y="361950"/>
          <a:ext cx="2752725" cy="2428875"/>
        </a:xfrm>
        <a:prstGeom prst="cub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38100</xdr:rowOff>
    </xdr:from>
    <xdr:to>
      <xdr:col>3</xdr:col>
      <xdr:colOff>438150</xdr:colOff>
      <xdr:row>17</xdr:row>
      <xdr:rowOff>161925</xdr:rowOff>
    </xdr:to>
    <xdr:sp>
      <xdr:nvSpPr>
        <xdr:cNvPr id="18" name="Line 21"/>
        <xdr:cNvSpPr>
          <a:spLocks/>
        </xdr:cNvSpPr>
      </xdr:nvSpPr>
      <xdr:spPr>
        <a:xfrm flipV="1">
          <a:off x="695325" y="1457325"/>
          <a:ext cx="18002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47625</xdr:rowOff>
    </xdr:from>
    <xdr:to>
      <xdr:col>3</xdr:col>
      <xdr:colOff>266700</xdr:colOff>
      <xdr:row>9</xdr:row>
      <xdr:rowOff>104775</xdr:rowOff>
    </xdr:to>
    <xdr:sp>
      <xdr:nvSpPr>
        <xdr:cNvPr id="19" name="Rectangle 22"/>
        <xdr:cNvSpPr>
          <a:spLocks/>
        </xdr:cNvSpPr>
      </xdr:nvSpPr>
      <xdr:spPr>
        <a:xfrm>
          <a:off x="2105025" y="146685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z</a:t>
          </a:r>
        </a:p>
      </xdr:txBody>
    </xdr:sp>
    <xdr:clientData/>
  </xdr:twoCellAnchor>
  <xdr:twoCellAnchor>
    <xdr:from>
      <xdr:col>2</xdr:col>
      <xdr:colOff>561975</xdr:colOff>
      <xdr:row>1</xdr:row>
      <xdr:rowOff>133350</xdr:rowOff>
    </xdr:from>
    <xdr:to>
      <xdr:col>5</xdr:col>
      <xdr:colOff>628650</xdr:colOff>
      <xdr:row>12</xdr:row>
      <xdr:rowOff>66675</xdr:rowOff>
    </xdr:to>
    <xdr:sp>
      <xdr:nvSpPr>
        <xdr:cNvPr id="20" name="Rectangle 23"/>
        <xdr:cNvSpPr>
          <a:spLocks/>
        </xdr:cNvSpPr>
      </xdr:nvSpPr>
      <xdr:spPr>
        <a:xfrm>
          <a:off x="1933575" y="352425"/>
          <a:ext cx="2124075" cy="1819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12</xdr:row>
      <xdr:rowOff>47625</xdr:rowOff>
    </xdr:from>
    <xdr:to>
      <xdr:col>2</xdr:col>
      <xdr:colOff>561975</xdr:colOff>
      <xdr:row>15</xdr:row>
      <xdr:rowOff>161925</xdr:rowOff>
    </xdr:to>
    <xdr:sp>
      <xdr:nvSpPr>
        <xdr:cNvPr id="21" name="Line 24"/>
        <xdr:cNvSpPr>
          <a:spLocks/>
        </xdr:cNvSpPr>
      </xdr:nvSpPr>
      <xdr:spPr>
        <a:xfrm flipV="1">
          <a:off x="1314450" y="2152650"/>
          <a:ext cx="6191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5</xdr:row>
      <xdr:rowOff>152400</xdr:rowOff>
    </xdr:from>
    <xdr:to>
      <xdr:col>4</xdr:col>
      <xdr:colOff>457200</xdr:colOff>
      <xdr:row>11</xdr:row>
      <xdr:rowOff>47625</xdr:rowOff>
    </xdr:to>
    <xdr:sp>
      <xdr:nvSpPr>
        <xdr:cNvPr id="22" name="Line 25"/>
        <xdr:cNvSpPr>
          <a:spLocks/>
        </xdr:cNvSpPr>
      </xdr:nvSpPr>
      <xdr:spPr>
        <a:xfrm flipV="1">
          <a:off x="2200275" y="1057275"/>
          <a:ext cx="10001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6</xdr:row>
      <xdr:rowOff>66675</xdr:rowOff>
    </xdr:from>
    <xdr:to>
      <xdr:col>4</xdr:col>
      <xdr:colOff>657225</xdr:colOff>
      <xdr:row>7</xdr:row>
      <xdr:rowOff>123825</xdr:rowOff>
    </xdr:to>
    <xdr:sp>
      <xdr:nvSpPr>
        <xdr:cNvPr id="23" name="Rectangle 26"/>
        <xdr:cNvSpPr>
          <a:spLocks/>
        </xdr:cNvSpPr>
      </xdr:nvSpPr>
      <xdr:spPr>
        <a:xfrm>
          <a:off x="3200400" y="1143000"/>
          <a:ext cx="200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ζ</a:t>
          </a:r>
        </a:p>
      </xdr:txBody>
    </xdr:sp>
    <xdr:clientData/>
  </xdr:twoCellAnchor>
  <xdr:twoCellAnchor>
    <xdr:from>
      <xdr:col>1</xdr:col>
      <xdr:colOff>409575</xdr:colOff>
      <xdr:row>5</xdr:row>
      <xdr:rowOff>28575</xdr:rowOff>
    </xdr:from>
    <xdr:to>
      <xdr:col>1</xdr:col>
      <xdr:colOff>571500</xdr:colOff>
      <xdr:row>6</xdr:row>
      <xdr:rowOff>85725</xdr:rowOff>
    </xdr:to>
    <xdr:sp>
      <xdr:nvSpPr>
        <xdr:cNvPr id="24" name="Rectangle 27"/>
        <xdr:cNvSpPr>
          <a:spLocks/>
        </xdr:cNvSpPr>
      </xdr:nvSpPr>
      <xdr:spPr>
        <a:xfrm>
          <a:off x="1095375" y="933450"/>
          <a:ext cx="161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5</xdr:col>
      <xdr:colOff>57150</xdr:colOff>
      <xdr:row>5</xdr:row>
      <xdr:rowOff>19050</xdr:rowOff>
    </xdr:from>
    <xdr:to>
      <xdr:col>5</xdr:col>
      <xdr:colOff>219075</xdr:colOff>
      <xdr:row>6</xdr:row>
      <xdr:rowOff>76200</xdr:rowOff>
    </xdr:to>
    <xdr:sp>
      <xdr:nvSpPr>
        <xdr:cNvPr id="25" name="Rectangle 28"/>
        <xdr:cNvSpPr>
          <a:spLocks/>
        </xdr:cNvSpPr>
      </xdr:nvSpPr>
      <xdr:spPr>
        <a:xfrm>
          <a:off x="3486150" y="923925"/>
          <a:ext cx="161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219075</xdr:colOff>
      <xdr:row>2</xdr:row>
      <xdr:rowOff>76200</xdr:rowOff>
    </xdr:to>
    <xdr:sp>
      <xdr:nvSpPr>
        <xdr:cNvPr id="26" name="Rectangle 29"/>
        <xdr:cNvSpPr>
          <a:spLocks/>
        </xdr:cNvSpPr>
      </xdr:nvSpPr>
      <xdr:spPr>
        <a:xfrm>
          <a:off x="4171950" y="238125"/>
          <a:ext cx="161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  <xdr:twoCellAnchor>
    <xdr:from>
      <xdr:col>2</xdr:col>
      <xdr:colOff>219075</xdr:colOff>
      <xdr:row>1</xdr:row>
      <xdr:rowOff>57150</xdr:rowOff>
    </xdr:from>
    <xdr:to>
      <xdr:col>2</xdr:col>
      <xdr:colOff>381000</xdr:colOff>
      <xdr:row>2</xdr:row>
      <xdr:rowOff>114300</xdr:rowOff>
    </xdr:to>
    <xdr:sp>
      <xdr:nvSpPr>
        <xdr:cNvPr id="27" name="Rectangle 30"/>
        <xdr:cNvSpPr>
          <a:spLocks/>
        </xdr:cNvSpPr>
      </xdr:nvSpPr>
      <xdr:spPr>
        <a:xfrm>
          <a:off x="1590675" y="276225"/>
          <a:ext cx="161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twoCellAnchor>
  <xdr:twoCellAnchor>
    <xdr:from>
      <xdr:col>2</xdr:col>
      <xdr:colOff>457200</xdr:colOff>
      <xdr:row>13</xdr:row>
      <xdr:rowOff>123825</xdr:rowOff>
    </xdr:from>
    <xdr:to>
      <xdr:col>3</xdr:col>
      <xdr:colOff>419100</xdr:colOff>
      <xdr:row>15</xdr:row>
      <xdr:rowOff>0</xdr:rowOff>
    </xdr:to>
    <xdr:sp>
      <xdr:nvSpPr>
        <xdr:cNvPr id="28" name="Rectangle 31"/>
        <xdr:cNvSpPr>
          <a:spLocks/>
        </xdr:cNvSpPr>
      </xdr:nvSpPr>
      <xdr:spPr>
        <a:xfrm>
          <a:off x="1828800" y="2400300"/>
          <a:ext cx="647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(-1,1,-1)</a:t>
          </a:r>
        </a:p>
      </xdr:txBody>
    </xdr:sp>
    <xdr:clientData/>
  </xdr:twoCellAnchor>
  <xdr:twoCellAnchor>
    <xdr:from>
      <xdr:col>6</xdr:col>
      <xdr:colOff>142875</xdr:colOff>
      <xdr:row>2</xdr:row>
      <xdr:rowOff>104775</xdr:rowOff>
    </xdr:from>
    <xdr:to>
      <xdr:col>7</xdr:col>
      <xdr:colOff>9525</xdr:colOff>
      <xdr:row>3</xdr:row>
      <xdr:rowOff>161925</xdr:rowOff>
    </xdr:to>
    <xdr:sp>
      <xdr:nvSpPr>
        <xdr:cNvPr id="29" name="Rectangle 32"/>
        <xdr:cNvSpPr>
          <a:spLocks/>
        </xdr:cNvSpPr>
      </xdr:nvSpPr>
      <xdr:spPr>
        <a:xfrm>
          <a:off x="4257675" y="49530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(1,1,1)</a:t>
          </a:r>
        </a:p>
      </xdr:txBody>
    </xdr:sp>
    <xdr:clientData/>
  </xdr:twoCellAnchor>
  <xdr:twoCellAnchor>
    <xdr:from>
      <xdr:col>5</xdr:col>
      <xdr:colOff>85725</xdr:colOff>
      <xdr:row>6</xdr:row>
      <xdr:rowOff>0</xdr:rowOff>
    </xdr:from>
    <xdr:to>
      <xdr:col>6</xdr:col>
      <xdr:colOff>152400</xdr:colOff>
      <xdr:row>7</xdr:row>
      <xdr:rowOff>57150</xdr:rowOff>
    </xdr:to>
    <xdr:sp>
      <xdr:nvSpPr>
        <xdr:cNvPr id="30" name="Rectangle 33"/>
        <xdr:cNvSpPr>
          <a:spLocks/>
        </xdr:cNvSpPr>
      </xdr:nvSpPr>
      <xdr:spPr>
        <a:xfrm>
          <a:off x="3514725" y="1076325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(1,-1,1)</a:t>
          </a:r>
        </a:p>
      </xdr:txBody>
    </xdr:sp>
    <xdr:clientData/>
  </xdr:twoCellAnchor>
  <xdr:twoCellAnchor>
    <xdr:from>
      <xdr:col>1</xdr:col>
      <xdr:colOff>238125</xdr:colOff>
      <xdr:row>6</xdr:row>
      <xdr:rowOff>76200</xdr:rowOff>
    </xdr:from>
    <xdr:to>
      <xdr:col>2</xdr:col>
      <xdr:colOff>209550</xdr:colOff>
      <xdr:row>7</xdr:row>
      <xdr:rowOff>133350</xdr:rowOff>
    </xdr:to>
    <xdr:sp>
      <xdr:nvSpPr>
        <xdr:cNvPr id="31" name="Rectangle 34"/>
        <xdr:cNvSpPr>
          <a:spLocks/>
        </xdr:cNvSpPr>
      </xdr:nvSpPr>
      <xdr:spPr>
        <a:xfrm>
          <a:off x="923925" y="11525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(-1,-1,1)</a:t>
          </a:r>
        </a:p>
      </xdr:txBody>
    </xdr:sp>
    <xdr:clientData/>
  </xdr:twoCellAnchor>
  <xdr:twoCellAnchor>
    <xdr:from>
      <xdr:col>2</xdr:col>
      <xdr:colOff>600075</xdr:colOff>
      <xdr:row>2</xdr:row>
      <xdr:rowOff>85725</xdr:rowOff>
    </xdr:from>
    <xdr:to>
      <xdr:col>3</xdr:col>
      <xdr:colOff>561975</xdr:colOff>
      <xdr:row>3</xdr:row>
      <xdr:rowOff>142875</xdr:rowOff>
    </xdr:to>
    <xdr:sp>
      <xdr:nvSpPr>
        <xdr:cNvPr id="32" name="Rectangle 35"/>
        <xdr:cNvSpPr>
          <a:spLocks/>
        </xdr:cNvSpPr>
      </xdr:nvSpPr>
      <xdr:spPr>
        <a:xfrm>
          <a:off x="1971675" y="47625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(-1,1,1)</a:t>
          </a:r>
        </a:p>
      </xdr:txBody>
    </xdr:sp>
    <xdr:clientData/>
  </xdr:twoCellAnchor>
  <xdr:twoCellAnchor>
    <xdr:from>
      <xdr:col>1</xdr:col>
      <xdr:colOff>485775</xdr:colOff>
      <xdr:row>70</xdr:row>
      <xdr:rowOff>152400</xdr:rowOff>
    </xdr:from>
    <xdr:to>
      <xdr:col>1</xdr:col>
      <xdr:colOff>609600</xdr:colOff>
      <xdr:row>72</xdr:row>
      <xdr:rowOff>28575</xdr:rowOff>
    </xdr:to>
    <xdr:sp>
      <xdr:nvSpPr>
        <xdr:cNvPr id="33" name="Rectangle 36"/>
        <xdr:cNvSpPr>
          <a:spLocks/>
        </xdr:cNvSpPr>
      </xdr:nvSpPr>
      <xdr:spPr>
        <a:xfrm>
          <a:off x="1171575" y="12553950"/>
          <a:ext cx="123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600075</xdr:colOff>
      <xdr:row>70</xdr:row>
      <xdr:rowOff>171450</xdr:rowOff>
    </xdr:from>
    <xdr:to>
      <xdr:col>5</xdr:col>
      <xdr:colOff>85725</xdr:colOff>
      <xdr:row>72</xdr:row>
      <xdr:rowOff>47625</xdr:rowOff>
    </xdr:to>
    <xdr:sp>
      <xdr:nvSpPr>
        <xdr:cNvPr id="34" name="Rectangle 37"/>
        <xdr:cNvSpPr>
          <a:spLocks/>
        </xdr:cNvSpPr>
      </xdr:nvSpPr>
      <xdr:spPr>
        <a:xfrm>
          <a:off x="3343275" y="12573000"/>
          <a:ext cx="171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6</xdr:col>
      <xdr:colOff>28575</xdr:colOff>
      <xdr:row>66</xdr:row>
      <xdr:rowOff>171450</xdr:rowOff>
    </xdr:from>
    <xdr:to>
      <xdr:col>6</xdr:col>
      <xdr:colOff>219075</xdr:colOff>
      <xdr:row>68</xdr:row>
      <xdr:rowOff>47625</xdr:rowOff>
    </xdr:to>
    <xdr:sp>
      <xdr:nvSpPr>
        <xdr:cNvPr id="35" name="Rectangle 38"/>
        <xdr:cNvSpPr>
          <a:spLocks/>
        </xdr:cNvSpPr>
      </xdr:nvSpPr>
      <xdr:spPr>
        <a:xfrm>
          <a:off x="4143375" y="11887200"/>
          <a:ext cx="190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514350</xdr:colOff>
      <xdr:row>67</xdr:row>
      <xdr:rowOff>95250</xdr:rowOff>
    </xdr:from>
    <xdr:to>
      <xdr:col>2</xdr:col>
      <xdr:colOff>676275</xdr:colOff>
      <xdr:row>68</xdr:row>
      <xdr:rowOff>152400</xdr:rowOff>
    </xdr:to>
    <xdr:sp>
      <xdr:nvSpPr>
        <xdr:cNvPr id="36" name="Rectangle 39"/>
        <xdr:cNvSpPr>
          <a:spLocks/>
        </xdr:cNvSpPr>
      </xdr:nvSpPr>
      <xdr:spPr>
        <a:xfrm>
          <a:off x="1885950" y="11982450"/>
          <a:ext cx="161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</xdr:col>
      <xdr:colOff>9525</xdr:colOff>
      <xdr:row>72</xdr:row>
      <xdr:rowOff>161925</xdr:rowOff>
    </xdr:from>
    <xdr:to>
      <xdr:col>6</xdr:col>
      <xdr:colOff>19050</xdr:colOff>
      <xdr:row>72</xdr:row>
      <xdr:rowOff>161925</xdr:rowOff>
    </xdr:to>
    <xdr:sp>
      <xdr:nvSpPr>
        <xdr:cNvPr id="37" name="Line 40"/>
        <xdr:cNvSpPr>
          <a:spLocks/>
        </xdr:cNvSpPr>
      </xdr:nvSpPr>
      <xdr:spPr>
        <a:xfrm>
          <a:off x="695325" y="129063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56</xdr:row>
      <xdr:rowOff>161925</xdr:rowOff>
    </xdr:from>
    <xdr:to>
      <xdr:col>1</xdr:col>
      <xdr:colOff>9525</xdr:colOff>
      <xdr:row>72</xdr:row>
      <xdr:rowOff>161925</xdr:rowOff>
    </xdr:to>
    <xdr:sp>
      <xdr:nvSpPr>
        <xdr:cNvPr id="38" name="Line 41"/>
        <xdr:cNvSpPr>
          <a:spLocks/>
        </xdr:cNvSpPr>
      </xdr:nvSpPr>
      <xdr:spPr>
        <a:xfrm flipH="1" flipV="1">
          <a:off x="676275" y="10163175"/>
          <a:ext cx="190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56</xdr:row>
      <xdr:rowOff>95250</xdr:rowOff>
    </xdr:from>
    <xdr:to>
      <xdr:col>1</xdr:col>
      <xdr:colOff>28575</xdr:colOff>
      <xdr:row>57</xdr:row>
      <xdr:rowOff>152400</xdr:rowOff>
    </xdr:to>
    <xdr:sp>
      <xdr:nvSpPr>
        <xdr:cNvPr id="39" name="Rectangle 42"/>
        <xdr:cNvSpPr>
          <a:spLocks/>
        </xdr:cNvSpPr>
      </xdr:nvSpPr>
      <xdr:spPr>
        <a:xfrm>
          <a:off x="466725" y="1009650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y</a:t>
          </a:r>
        </a:p>
      </xdr:txBody>
    </xdr:sp>
    <xdr:clientData/>
  </xdr:twoCellAnchor>
  <xdr:twoCellAnchor>
    <xdr:from>
      <xdr:col>6</xdr:col>
      <xdr:colOff>38100</xdr:colOff>
      <xdr:row>73</xdr:row>
      <xdr:rowOff>9525</xdr:rowOff>
    </xdr:from>
    <xdr:to>
      <xdr:col>6</xdr:col>
      <xdr:colOff>314325</xdr:colOff>
      <xdr:row>74</xdr:row>
      <xdr:rowOff>76200</xdr:rowOff>
    </xdr:to>
    <xdr:sp>
      <xdr:nvSpPr>
        <xdr:cNvPr id="40" name="Rectangle 43"/>
        <xdr:cNvSpPr>
          <a:spLocks/>
        </xdr:cNvSpPr>
      </xdr:nvSpPr>
      <xdr:spPr>
        <a:xfrm>
          <a:off x="4152900" y="129254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x</a:t>
          </a:r>
        </a:p>
      </xdr:txBody>
    </xdr:sp>
    <xdr:clientData/>
  </xdr:twoCellAnchor>
  <xdr:twoCellAnchor>
    <xdr:from>
      <xdr:col>0</xdr:col>
      <xdr:colOff>400050</xdr:colOff>
      <xdr:row>72</xdr:row>
      <xdr:rowOff>95250</xdr:rowOff>
    </xdr:from>
    <xdr:to>
      <xdr:col>0</xdr:col>
      <xdr:colOff>657225</xdr:colOff>
      <xdr:row>73</xdr:row>
      <xdr:rowOff>152400</xdr:rowOff>
    </xdr:to>
    <xdr:sp>
      <xdr:nvSpPr>
        <xdr:cNvPr id="41" name="Rectangle 44"/>
        <xdr:cNvSpPr>
          <a:spLocks/>
        </xdr:cNvSpPr>
      </xdr:nvSpPr>
      <xdr:spPr>
        <a:xfrm>
          <a:off x="400050" y="12839700"/>
          <a:ext cx="257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</xdr:col>
      <xdr:colOff>66675</xdr:colOff>
      <xdr:row>63</xdr:row>
      <xdr:rowOff>9525</xdr:rowOff>
    </xdr:from>
    <xdr:to>
      <xdr:col>5</xdr:col>
      <xdr:colOff>542925</xdr:colOff>
      <xdr:row>63</xdr:row>
      <xdr:rowOff>9525</xdr:rowOff>
    </xdr:to>
    <xdr:sp>
      <xdr:nvSpPr>
        <xdr:cNvPr id="42" name="Line 45"/>
        <xdr:cNvSpPr>
          <a:spLocks/>
        </xdr:cNvSpPr>
      </xdr:nvSpPr>
      <xdr:spPr>
        <a:xfrm>
          <a:off x="2124075" y="112109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59</xdr:row>
      <xdr:rowOff>85725</xdr:rowOff>
    </xdr:from>
    <xdr:to>
      <xdr:col>4</xdr:col>
      <xdr:colOff>47625</xdr:colOff>
      <xdr:row>68</xdr:row>
      <xdr:rowOff>123825</xdr:rowOff>
    </xdr:to>
    <xdr:sp>
      <xdr:nvSpPr>
        <xdr:cNvPr id="43" name="Line 46"/>
        <xdr:cNvSpPr>
          <a:spLocks/>
        </xdr:cNvSpPr>
      </xdr:nvSpPr>
      <xdr:spPr>
        <a:xfrm flipV="1">
          <a:off x="2790825" y="1060132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63</xdr:row>
      <xdr:rowOff>114300</xdr:rowOff>
    </xdr:from>
    <xdr:to>
      <xdr:col>5</xdr:col>
      <xdr:colOff>542925</xdr:colOff>
      <xdr:row>64</xdr:row>
      <xdr:rowOff>171450</xdr:rowOff>
    </xdr:to>
    <xdr:sp>
      <xdr:nvSpPr>
        <xdr:cNvPr id="44" name="Rectangle 47"/>
        <xdr:cNvSpPr>
          <a:spLocks/>
        </xdr:cNvSpPr>
      </xdr:nvSpPr>
      <xdr:spPr>
        <a:xfrm>
          <a:off x="3771900" y="11315700"/>
          <a:ext cx="200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ξ</a:t>
          </a:r>
        </a:p>
      </xdr:txBody>
    </xdr:sp>
    <xdr:clientData/>
  </xdr:twoCellAnchor>
  <xdr:twoCellAnchor>
    <xdr:from>
      <xdr:col>4</xdr:col>
      <xdr:colOff>114300</xdr:colOff>
      <xdr:row>58</xdr:row>
      <xdr:rowOff>95250</xdr:rowOff>
    </xdr:from>
    <xdr:to>
      <xdr:col>4</xdr:col>
      <xdr:colOff>295275</xdr:colOff>
      <xdr:row>59</xdr:row>
      <xdr:rowOff>152400</xdr:rowOff>
    </xdr:to>
    <xdr:sp>
      <xdr:nvSpPr>
        <xdr:cNvPr id="45" name="Rectangle 48"/>
        <xdr:cNvSpPr>
          <a:spLocks/>
        </xdr:cNvSpPr>
      </xdr:nvSpPr>
      <xdr:spPr>
        <a:xfrm>
          <a:off x="2857500" y="10439400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η</a:t>
          </a:r>
        </a:p>
      </xdr:txBody>
    </xdr:sp>
    <xdr:clientData/>
  </xdr:twoCellAnchor>
  <xdr:twoCellAnchor>
    <xdr:from>
      <xdr:col>1</xdr:col>
      <xdr:colOff>619125</xdr:colOff>
      <xdr:row>71</xdr:row>
      <xdr:rowOff>85725</xdr:rowOff>
    </xdr:from>
    <xdr:to>
      <xdr:col>3</xdr:col>
      <xdr:colOff>38100</xdr:colOff>
      <xdr:row>72</xdr:row>
      <xdr:rowOff>142875</xdr:rowOff>
    </xdr:to>
    <xdr:sp>
      <xdr:nvSpPr>
        <xdr:cNvPr id="46" name="Rectangle 49"/>
        <xdr:cNvSpPr>
          <a:spLocks/>
        </xdr:cNvSpPr>
      </xdr:nvSpPr>
      <xdr:spPr>
        <a:xfrm>
          <a:off x="1304925" y="12658725"/>
          <a:ext cx="790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(-1,-1,-1)</a:t>
          </a:r>
        </a:p>
      </xdr:txBody>
    </xdr:sp>
    <xdr:clientData/>
  </xdr:twoCellAnchor>
  <xdr:twoCellAnchor>
    <xdr:from>
      <xdr:col>5</xdr:col>
      <xdr:colOff>133350</xdr:colOff>
      <xdr:row>71</xdr:row>
      <xdr:rowOff>38100</xdr:rowOff>
    </xdr:from>
    <xdr:to>
      <xdr:col>6</xdr:col>
      <xdr:colOff>200025</xdr:colOff>
      <xdr:row>72</xdr:row>
      <xdr:rowOff>95250</xdr:rowOff>
    </xdr:to>
    <xdr:sp>
      <xdr:nvSpPr>
        <xdr:cNvPr id="47" name="Rectangle 50"/>
        <xdr:cNvSpPr>
          <a:spLocks/>
        </xdr:cNvSpPr>
      </xdr:nvSpPr>
      <xdr:spPr>
        <a:xfrm>
          <a:off x="3562350" y="12611100"/>
          <a:ext cx="752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(1,-1,-1)</a:t>
          </a:r>
        </a:p>
      </xdr:txBody>
    </xdr:sp>
    <xdr:clientData/>
  </xdr:twoCellAnchor>
  <xdr:twoCellAnchor>
    <xdr:from>
      <xdr:col>6</xdr:col>
      <xdr:colOff>247650</xdr:colOff>
      <xdr:row>67</xdr:row>
      <xdr:rowOff>28575</xdr:rowOff>
    </xdr:from>
    <xdr:to>
      <xdr:col>7</xdr:col>
      <xdr:colOff>114300</xdr:colOff>
      <xdr:row>68</xdr:row>
      <xdr:rowOff>85725</xdr:rowOff>
    </xdr:to>
    <xdr:sp>
      <xdr:nvSpPr>
        <xdr:cNvPr id="48" name="Rectangle 51"/>
        <xdr:cNvSpPr>
          <a:spLocks/>
        </xdr:cNvSpPr>
      </xdr:nvSpPr>
      <xdr:spPr>
        <a:xfrm>
          <a:off x="4362450" y="11915775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(1,1,-1)</a:t>
          </a:r>
        </a:p>
      </xdr:txBody>
    </xdr:sp>
    <xdr:clientData/>
  </xdr:twoCellAnchor>
  <xdr:twoCellAnchor>
    <xdr:from>
      <xdr:col>1</xdr:col>
      <xdr:colOff>628650</xdr:colOff>
      <xdr:row>56</xdr:row>
      <xdr:rowOff>142875</xdr:rowOff>
    </xdr:from>
    <xdr:to>
      <xdr:col>5</xdr:col>
      <xdr:colOff>638175</xdr:colOff>
      <xdr:row>70</xdr:row>
      <xdr:rowOff>171450</xdr:rowOff>
    </xdr:to>
    <xdr:sp>
      <xdr:nvSpPr>
        <xdr:cNvPr id="49" name="AutoShape 52"/>
        <xdr:cNvSpPr>
          <a:spLocks/>
        </xdr:cNvSpPr>
      </xdr:nvSpPr>
      <xdr:spPr>
        <a:xfrm>
          <a:off x="1314450" y="10144125"/>
          <a:ext cx="2752725" cy="2428875"/>
        </a:xfrm>
        <a:prstGeom prst="cub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38100</xdr:rowOff>
    </xdr:from>
    <xdr:to>
      <xdr:col>3</xdr:col>
      <xdr:colOff>438150</xdr:colOff>
      <xdr:row>72</xdr:row>
      <xdr:rowOff>161925</xdr:rowOff>
    </xdr:to>
    <xdr:sp>
      <xdr:nvSpPr>
        <xdr:cNvPr id="50" name="Line 53"/>
        <xdr:cNvSpPr>
          <a:spLocks/>
        </xdr:cNvSpPr>
      </xdr:nvSpPr>
      <xdr:spPr>
        <a:xfrm flipV="1">
          <a:off x="695325" y="11239500"/>
          <a:ext cx="18002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63</xdr:row>
      <xdr:rowOff>47625</xdr:rowOff>
    </xdr:from>
    <xdr:to>
      <xdr:col>3</xdr:col>
      <xdr:colOff>257175</xdr:colOff>
      <xdr:row>64</xdr:row>
      <xdr:rowOff>104775</xdr:rowOff>
    </xdr:to>
    <xdr:sp>
      <xdr:nvSpPr>
        <xdr:cNvPr id="51" name="Rectangle 54"/>
        <xdr:cNvSpPr>
          <a:spLocks/>
        </xdr:cNvSpPr>
      </xdr:nvSpPr>
      <xdr:spPr>
        <a:xfrm>
          <a:off x="2105025" y="1124902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z</a:t>
          </a:r>
        </a:p>
      </xdr:txBody>
    </xdr:sp>
    <xdr:clientData/>
  </xdr:twoCellAnchor>
  <xdr:twoCellAnchor>
    <xdr:from>
      <xdr:col>2</xdr:col>
      <xdr:colOff>561975</xdr:colOff>
      <xdr:row>56</xdr:row>
      <xdr:rowOff>133350</xdr:rowOff>
    </xdr:from>
    <xdr:to>
      <xdr:col>5</xdr:col>
      <xdr:colOff>628650</xdr:colOff>
      <xdr:row>67</xdr:row>
      <xdr:rowOff>66675</xdr:rowOff>
    </xdr:to>
    <xdr:sp>
      <xdr:nvSpPr>
        <xdr:cNvPr id="52" name="Rectangle 55"/>
        <xdr:cNvSpPr>
          <a:spLocks/>
        </xdr:cNvSpPr>
      </xdr:nvSpPr>
      <xdr:spPr>
        <a:xfrm>
          <a:off x="1933575" y="10134600"/>
          <a:ext cx="2124075" cy="1819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67</xdr:row>
      <xdr:rowOff>47625</xdr:rowOff>
    </xdr:from>
    <xdr:to>
      <xdr:col>2</xdr:col>
      <xdr:colOff>561975</xdr:colOff>
      <xdr:row>70</xdr:row>
      <xdr:rowOff>161925</xdr:rowOff>
    </xdr:to>
    <xdr:sp>
      <xdr:nvSpPr>
        <xdr:cNvPr id="53" name="Line 56"/>
        <xdr:cNvSpPr>
          <a:spLocks/>
        </xdr:cNvSpPr>
      </xdr:nvSpPr>
      <xdr:spPr>
        <a:xfrm flipV="1">
          <a:off x="1314450" y="11934825"/>
          <a:ext cx="6191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60</xdr:row>
      <xdr:rowOff>152400</xdr:rowOff>
    </xdr:from>
    <xdr:to>
      <xdr:col>4</xdr:col>
      <xdr:colOff>457200</xdr:colOff>
      <xdr:row>66</xdr:row>
      <xdr:rowOff>47625</xdr:rowOff>
    </xdr:to>
    <xdr:sp>
      <xdr:nvSpPr>
        <xdr:cNvPr id="54" name="Line 57"/>
        <xdr:cNvSpPr>
          <a:spLocks/>
        </xdr:cNvSpPr>
      </xdr:nvSpPr>
      <xdr:spPr>
        <a:xfrm flipV="1">
          <a:off x="2200275" y="10839450"/>
          <a:ext cx="10001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61</xdr:row>
      <xdr:rowOff>66675</xdr:rowOff>
    </xdr:from>
    <xdr:to>
      <xdr:col>4</xdr:col>
      <xdr:colOff>657225</xdr:colOff>
      <xdr:row>62</xdr:row>
      <xdr:rowOff>123825</xdr:rowOff>
    </xdr:to>
    <xdr:sp>
      <xdr:nvSpPr>
        <xdr:cNvPr id="55" name="Rectangle 58"/>
        <xdr:cNvSpPr>
          <a:spLocks/>
        </xdr:cNvSpPr>
      </xdr:nvSpPr>
      <xdr:spPr>
        <a:xfrm>
          <a:off x="3200400" y="10925175"/>
          <a:ext cx="200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ζ</a:t>
          </a:r>
        </a:p>
      </xdr:txBody>
    </xdr:sp>
    <xdr:clientData/>
  </xdr:twoCellAnchor>
  <xdr:twoCellAnchor>
    <xdr:from>
      <xdr:col>1</xdr:col>
      <xdr:colOff>409575</xdr:colOff>
      <xdr:row>60</xdr:row>
      <xdr:rowOff>28575</xdr:rowOff>
    </xdr:from>
    <xdr:to>
      <xdr:col>1</xdr:col>
      <xdr:colOff>571500</xdr:colOff>
      <xdr:row>61</xdr:row>
      <xdr:rowOff>85725</xdr:rowOff>
    </xdr:to>
    <xdr:sp>
      <xdr:nvSpPr>
        <xdr:cNvPr id="56" name="Rectangle 59"/>
        <xdr:cNvSpPr>
          <a:spLocks/>
        </xdr:cNvSpPr>
      </xdr:nvSpPr>
      <xdr:spPr>
        <a:xfrm>
          <a:off x="1095375" y="10715625"/>
          <a:ext cx="161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5</xdr:col>
      <xdr:colOff>57150</xdr:colOff>
      <xdr:row>60</xdr:row>
      <xdr:rowOff>19050</xdr:rowOff>
    </xdr:from>
    <xdr:to>
      <xdr:col>5</xdr:col>
      <xdr:colOff>219075</xdr:colOff>
      <xdr:row>61</xdr:row>
      <xdr:rowOff>76200</xdr:rowOff>
    </xdr:to>
    <xdr:sp>
      <xdr:nvSpPr>
        <xdr:cNvPr id="57" name="Rectangle 60"/>
        <xdr:cNvSpPr>
          <a:spLocks/>
        </xdr:cNvSpPr>
      </xdr:nvSpPr>
      <xdr:spPr>
        <a:xfrm>
          <a:off x="3486150" y="10706100"/>
          <a:ext cx="161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6</xdr:col>
      <xdr:colOff>57150</xdr:colOff>
      <xdr:row>56</xdr:row>
      <xdr:rowOff>19050</xdr:rowOff>
    </xdr:from>
    <xdr:to>
      <xdr:col>6</xdr:col>
      <xdr:colOff>219075</xdr:colOff>
      <xdr:row>57</xdr:row>
      <xdr:rowOff>76200</xdr:rowOff>
    </xdr:to>
    <xdr:sp>
      <xdr:nvSpPr>
        <xdr:cNvPr id="58" name="Rectangle 61"/>
        <xdr:cNvSpPr>
          <a:spLocks/>
        </xdr:cNvSpPr>
      </xdr:nvSpPr>
      <xdr:spPr>
        <a:xfrm>
          <a:off x="4171950" y="10020300"/>
          <a:ext cx="161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  <xdr:twoCellAnchor>
    <xdr:from>
      <xdr:col>2</xdr:col>
      <xdr:colOff>219075</xdr:colOff>
      <xdr:row>56</xdr:row>
      <xdr:rowOff>57150</xdr:rowOff>
    </xdr:from>
    <xdr:to>
      <xdr:col>2</xdr:col>
      <xdr:colOff>381000</xdr:colOff>
      <xdr:row>57</xdr:row>
      <xdr:rowOff>114300</xdr:rowOff>
    </xdr:to>
    <xdr:sp>
      <xdr:nvSpPr>
        <xdr:cNvPr id="59" name="Rectangle 62"/>
        <xdr:cNvSpPr>
          <a:spLocks/>
        </xdr:cNvSpPr>
      </xdr:nvSpPr>
      <xdr:spPr>
        <a:xfrm>
          <a:off x="1590675" y="10058400"/>
          <a:ext cx="161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twoCellAnchor>
  <xdr:twoCellAnchor>
    <xdr:from>
      <xdr:col>2</xdr:col>
      <xdr:colOff>457200</xdr:colOff>
      <xdr:row>68</xdr:row>
      <xdr:rowOff>123825</xdr:rowOff>
    </xdr:from>
    <xdr:to>
      <xdr:col>3</xdr:col>
      <xdr:colOff>419100</xdr:colOff>
      <xdr:row>70</xdr:row>
      <xdr:rowOff>0</xdr:rowOff>
    </xdr:to>
    <xdr:sp>
      <xdr:nvSpPr>
        <xdr:cNvPr id="60" name="Rectangle 63"/>
        <xdr:cNvSpPr>
          <a:spLocks/>
        </xdr:cNvSpPr>
      </xdr:nvSpPr>
      <xdr:spPr>
        <a:xfrm>
          <a:off x="1828800" y="12182475"/>
          <a:ext cx="647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(-1,1,-1)</a:t>
          </a:r>
        </a:p>
      </xdr:txBody>
    </xdr:sp>
    <xdr:clientData/>
  </xdr:twoCellAnchor>
  <xdr:twoCellAnchor>
    <xdr:from>
      <xdr:col>6</xdr:col>
      <xdr:colOff>142875</xdr:colOff>
      <xdr:row>57</xdr:row>
      <xdr:rowOff>104775</xdr:rowOff>
    </xdr:from>
    <xdr:to>
      <xdr:col>7</xdr:col>
      <xdr:colOff>9525</xdr:colOff>
      <xdr:row>58</xdr:row>
      <xdr:rowOff>161925</xdr:rowOff>
    </xdr:to>
    <xdr:sp>
      <xdr:nvSpPr>
        <xdr:cNvPr id="61" name="Rectangle 64"/>
        <xdr:cNvSpPr>
          <a:spLocks/>
        </xdr:cNvSpPr>
      </xdr:nvSpPr>
      <xdr:spPr>
        <a:xfrm>
          <a:off x="4257675" y="10277475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(1,1,1)</a:t>
          </a:r>
        </a:p>
      </xdr:txBody>
    </xdr:sp>
    <xdr:clientData/>
  </xdr:twoCellAnchor>
  <xdr:twoCellAnchor>
    <xdr:from>
      <xdr:col>5</xdr:col>
      <xdr:colOff>85725</xdr:colOff>
      <xdr:row>61</xdr:row>
      <xdr:rowOff>0</xdr:rowOff>
    </xdr:from>
    <xdr:to>
      <xdr:col>6</xdr:col>
      <xdr:colOff>152400</xdr:colOff>
      <xdr:row>62</xdr:row>
      <xdr:rowOff>57150</xdr:rowOff>
    </xdr:to>
    <xdr:sp>
      <xdr:nvSpPr>
        <xdr:cNvPr id="62" name="Rectangle 65"/>
        <xdr:cNvSpPr>
          <a:spLocks/>
        </xdr:cNvSpPr>
      </xdr:nvSpPr>
      <xdr:spPr>
        <a:xfrm>
          <a:off x="3514725" y="1085850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(1,-1,1)</a:t>
          </a:r>
        </a:p>
      </xdr:txBody>
    </xdr:sp>
    <xdr:clientData/>
  </xdr:twoCellAnchor>
  <xdr:twoCellAnchor>
    <xdr:from>
      <xdr:col>1</xdr:col>
      <xdr:colOff>238125</xdr:colOff>
      <xdr:row>61</xdr:row>
      <xdr:rowOff>76200</xdr:rowOff>
    </xdr:from>
    <xdr:to>
      <xdr:col>2</xdr:col>
      <xdr:colOff>209550</xdr:colOff>
      <xdr:row>62</xdr:row>
      <xdr:rowOff>133350</xdr:rowOff>
    </xdr:to>
    <xdr:sp>
      <xdr:nvSpPr>
        <xdr:cNvPr id="63" name="Rectangle 66"/>
        <xdr:cNvSpPr>
          <a:spLocks/>
        </xdr:cNvSpPr>
      </xdr:nvSpPr>
      <xdr:spPr>
        <a:xfrm>
          <a:off x="923925" y="109347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(-1,-1,1)</a:t>
          </a:r>
        </a:p>
      </xdr:txBody>
    </xdr:sp>
    <xdr:clientData/>
  </xdr:twoCellAnchor>
  <xdr:twoCellAnchor>
    <xdr:from>
      <xdr:col>2</xdr:col>
      <xdr:colOff>600075</xdr:colOff>
      <xdr:row>57</xdr:row>
      <xdr:rowOff>85725</xdr:rowOff>
    </xdr:from>
    <xdr:to>
      <xdr:col>3</xdr:col>
      <xdr:colOff>561975</xdr:colOff>
      <xdr:row>58</xdr:row>
      <xdr:rowOff>142875</xdr:rowOff>
    </xdr:to>
    <xdr:sp>
      <xdr:nvSpPr>
        <xdr:cNvPr id="64" name="Rectangle 67"/>
        <xdr:cNvSpPr>
          <a:spLocks/>
        </xdr:cNvSpPr>
      </xdr:nvSpPr>
      <xdr:spPr>
        <a:xfrm>
          <a:off x="1971675" y="10258425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(-1,1,1)</a:t>
          </a:r>
        </a:p>
      </xdr:txBody>
    </xdr:sp>
    <xdr:clientData/>
  </xdr:twoCellAnchor>
  <xdr:twoCellAnchor>
    <xdr:from>
      <xdr:col>3</xdr:col>
      <xdr:colOff>400050</xdr:colOff>
      <xdr:row>71</xdr:row>
      <xdr:rowOff>57150</xdr:rowOff>
    </xdr:from>
    <xdr:to>
      <xdr:col>3</xdr:col>
      <xdr:colOff>571500</xdr:colOff>
      <xdr:row>72</xdr:row>
      <xdr:rowOff>114300</xdr:rowOff>
    </xdr:to>
    <xdr:sp>
      <xdr:nvSpPr>
        <xdr:cNvPr id="65" name="Rectangle 68"/>
        <xdr:cNvSpPr>
          <a:spLocks/>
        </xdr:cNvSpPr>
      </xdr:nvSpPr>
      <xdr:spPr>
        <a:xfrm>
          <a:off x="2457450" y="12630150"/>
          <a:ext cx="171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  <xdr:twoCellAnchor>
    <xdr:from>
      <xdr:col>5</xdr:col>
      <xdr:colOff>447675</xdr:colOff>
      <xdr:row>68</xdr:row>
      <xdr:rowOff>171450</xdr:rowOff>
    </xdr:from>
    <xdr:to>
      <xdr:col>6</xdr:col>
      <xdr:colOff>76200</xdr:colOff>
      <xdr:row>70</xdr:row>
      <xdr:rowOff>47625</xdr:rowOff>
    </xdr:to>
    <xdr:sp>
      <xdr:nvSpPr>
        <xdr:cNvPr id="66" name="Rectangle 69"/>
        <xdr:cNvSpPr>
          <a:spLocks/>
        </xdr:cNvSpPr>
      </xdr:nvSpPr>
      <xdr:spPr>
        <a:xfrm>
          <a:off x="3876675" y="1223010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4</xdr:col>
      <xdr:colOff>123825</xdr:colOff>
      <xdr:row>66</xdr:row>
      <xdr:rowOff>57150</xdr:rowOff>
    </xdr:from>
    <xdr:to>
      <xdr:col>4</xdr:col>
      <xdr:colOff>438150</xdr:colOff>
      <xdr:row>67</xdr:row>
      <xdr:rowOff>114300</xdr:rowOff>
    </xdr:to>
    <xdr:sp>
      <xdr:nvSpPr>
        <xdr:cNvPr id="67" name="Rectangle 70"/>
        <xdr:cNvSpPr>
          <a:spLocks/>
        </xdr:cNvSpPr>
      </xdr:nvSpPr>
      <xdr:spPr>
        <a:xfrm>
          <a:off x="2867025" y="117729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  <xdr:twoCellAnchor>
    <xdr:from>
      <xdr:col>2</xdr:col>
      <xdr:colOff>123825</xdr:colOff>
      <xdr:row>68</xdr:row>
      <xdr:rowOff>114300</xdr:rowOff>
    </xdr:from>
    <xdr:to>
      <xdr:col>2</xdr:col>
      <xdr:colOff>438150</xdr:colOff>
      <xdr:row>69</xdr:row>
      <xdr:rowOff>171450</xdr:rowOff>
    </xdr:to>
    <xdr:sp>
      <xdr:nvSpPr>
        <xdr:cNvPr id="68" name="Rectangle 71"/>
        <xdr:cNvSpPr>
          <a:spLocks/>
        </xdr:cNvSpPr>
      </xdr:nvSpPr>
      <xdr:spPr>
        <a:xfrm>
          <a:off x="1495425" y="121729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twoCellAnchor>
  <xdr:twoCellAnchor>
    <xdr:from>
      <xdr:col>3</xdr:col>
      <xdr:colOff>257175</xdr:colOff>
      <xdr:row>60</xdr:row>
      <xdr:rowOff>95250</xdr:rowOff>
    </xdr:from>
    <xdr:to>
      <xdr:col>3</xdr:col>
      <xdr:colOff>571500</xdr:colOff>
      <xdr:row>61</xdr:row>
      <xdr:rowOff>152400</xdr:rowOff>
    </xdr:to>
    <xdr:sp>
      <xdr:nvSpPr>
        <xdr:cNvPr id="69" name="Rectangle 72"/>
        <xdr:cNvSpPr>
          <a:spLocks/>
        </xdr:cNvSpPr>
      </xdr:nvSpPr>
      <xdr:spPr>
        <a:xfrm>
          <a:off x="2314575" y="107823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5</xdr:col>
      <xdr:colOff>295275</xdr:colOff>
      <xdr:row>58</xdr:row>
      <xdr:rowOff>123825</xdr:rowOff>
    </xdr:from>
    <xdr:to>
      <xdr:col>5</xdr:col>
      <xdr:colOff>609600</xdr:colOff>
      <xdr:row>60</xdr:row>
      <xdr:rowOff>0</xdr:rowOff>
    </xdr:to>
    <xdr:sp>
      <xdr:nvSpPr>
        <xdr:cNvPr id="70" name="Rectangle 73"/>
        <xdr:cNvSpPr>
          <a:spLocks/>
        </xdr:cNvSpPr>
      </xdr:nvSpPr>
      <xdr:spPr>
        <a:xfrm>
          <a:off x="3724275" y="1046797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4</xdr:col>
      <xdr:colOff>161925</xdr:colOff>
      <xdr:row>55</xdr:row>
      <xdr:rowOff>123825</xdr:rowOff>
    </xdr:from>
    <xdr:to>
      <xdr:col>4</xdr:col>
      <xdr:colOff>476250</xdr:colOff>
      <xdr:row>57</xdr:row>
      <xdr:rowOff>0</xdr:rowOff>
    </xdr:to>
    <xdr:sp>
      <xdr:nvSpPr>
        <xdr:cNvPr id="71" name="Rectangle 74"/>
        <xdr:cNvSpPr>
          <a:spLocks/>
        </xdr:cNvSpPr>
      </xdr:nvSpPr>
      <xdr:spPr>
        <a:xfrm>
          <a:off x="2905125" y="99536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1</xdr:col>
      <xdr:colOff>676275</xdr:colOff>
      <xdr:row>57</xdr:row>
      <xdr:rowOff>142875</xdr:rowOff>
    </xdr:from>
    <xdr:to>
      <xdr:col>2</xdr:col>
      <xdr:colOff>304800</xdr:colOff>
      <xdr:row>59</xdr:row>
      <xdr:rowOff>19050</xdr:rowOff>
    </xdr:to>
    <xdr:sp>
      <xdr:nvSpPr>
        <xdr:cNvPr id="72" name="Rectangle 75"/>
        <xdr:cNvSpPr>
          <a:spLocks/>
        </xdr:cNvSpPr>
      </xdr:nvSpPr>
      <xdr:spPr>
        <a:xfrm>
          <a:off x="1362075" y="1031557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  <xdr:twoCellAnchor>
    <xdr:from>
      <xdr:col>1</xdr:col>
      <xdr:colOff>323850</xdr:colOff>
      <xdr:row>64</xdr:row>
      <xdr:rowOff>123825</xdr:rowOff>
    </xdr:from>
    <xdr:to>
      <xdr:col>1</xdr:col>
      <xdr:colOff>638175</xdr:colOff>
      <xdr:row>66</xdr:row>
      <xdr:rowOff>0</xdr:rowOff>
    </xdr:to>
    <xdr:sp>
      <xdr:nvSpPr>
        <xdr:cNvPr id="73" name="Rectangle 76"/>
        <xdr:cNvSpPr>
          <a:spLocks/>
        </xdr:cNvSpPr>
      </xdr:nvSpPr>
      <xdr:spPr>
        <a:xfrm>
          <a:off x="1009650" y="1149667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17</a:t>
          </a:r>
        </a:p>
      </xdr:txBody>
    </xdr:sp>
    <xdr:clientData/>
  </xdr:twoCellAnchor>
  <xdr:twoCellAnchor>
    <xdr:from>
      <xdr:col>5</xdr:col>
      <xdr:colOff>9525</xdr:colOff>
      <xdr:row>64</xdr:row>
      <xdr:rowOff>123825</xdr:rowOff>
    </xdr:from>
    <xdr:to>
      <xdr:col>5</xdr:col>
      <xdr:colOff>323850</xdr:colOff>
      <xdr:row>66</xdr:row>
      <xdr:rowOff>0</xdr:rowOff>
    </xdr:to>
    <xdr:sp>
      <xdr:nvSpPr>
        <xdr:cNvPr id="74" name="Rectangle 77"/>
        <xdr:cNvSpPr>
          <a:spLocks/>
        </xdr:cNvSpPr>
      </xdr:nvSpPr>
      <xdr:spPr>
        <a:xfrm>
          <a:off x="3438525" y="1149667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6</xdr:col>
      <xdr:colOff>28575</xdr:colOff>
      <xdr:row>61</xdr:row>
      <xdr:rowOff>123825</xdr:rowOff>
    </xdr:from>
    <xdr:to>
      <xdr:col>6</xdr:col>
      <xdr:colOff>342900</xdr:colOff>
      <xdr:row>63</xdr:row>
      <xdr:rowOff>0</xdr:rowOff>
    </xdr:to>
    <xdr:sp>
      <xdr:nvSpPr>
        <xdr:cNvPr id="75" name="Rectangle 78"/>
        <xdr:cNvSpPr>
          <a:spLocks/>
        </xdr:cNvSpPr>
      </xdr:nvSpPr>
      <xdr:spPr>
        <a:xfrm>
          <a:off x="4143375" y="109823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2</xdr:col>
      <xdr:colOff>352425</xdr:colOff>
      <xdr:row>61</xdr:row>
      <xdr:rowOff>114300</xdr:rowOff>
    </xdr:from>
    <xdr:to>
      <xdr:col>2</xdr:col>
      <xdr:colOff>666750</xdr:colOff>
      <xdr:row>62</xdr:row>
      <xdr:rowOff>171450</xdr:rowOff>
    </xdr:to>
    <xdr:sp>
      <xdr:nvSpPr>
        <xdr:cNvPr id="76" name="Rectangle 79"/>
        <xdr:cNvSpPr>
          <a:spLocks/>
        </xdr:cNvSpPr>
      </xdr:nvSpPr>
      <xdr:spPr>
        <a:xfrm>
          <a:off x="1724025" y="109728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oleObject" Target="../embeddings/oleObject_10_4.bin" /><Relationship Id="rId6" Type="http://schemas.openxmlformats.org/officeDocument/2006/relationships/oleObject" Target="../embeddings/oleObject_10_5.bin" /><Relationship Id="rId7" Type="http://schemas.openxmlformats.org/officeDocument/2006/relationships/vmlDrawing" Target="../drawings/vmlDrawing6.vml" /><Relationship Id="rId8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oleObject" Target="../embeddings/oleObject_12_6.bin" /><Relationship Id="rId8" Type="http://schemas.openxmlformats.org/officeDocument/2006/relationships/oleObject" Target="../embeddings/oleObject_12_7.bin" /><Relationship Id="rId9" Type="http://schemas.openxmlformats.org/officeDocument/2006/relationships/oleObject" Target="../embeddings/oleObject_12_8.bin" /><Relationship Id="rId10" Type="http://schemas.openxmlformats.org/officeDocument/2006/relationships/oleObject" Target="../embeddings/oleObject_12_9.bin" /><Relationship Id="rId11" Type="http://schemas.openxmlformats.org/officeDocument/2006/relationships/vmlDrawing" Target="../drawings/vmlDrawing8.vml" /><Relationship Id="rId1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vmlDrawing" Target="../drawings/vmlDrawing3.v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oleObject" Target="../embeddings/oleObject_8_5.bin" /><Relationship Id="rId7" Type="http://schemas.openxmlformats.org/officeDocument/2006/relationships/oleObject" Target="../embeddings/oleObject_8_6.bin" /><Relationship Id="rId8" Type="http://schemas.openxmlformats.org/officeDocument/2006/relationships/oleObject" Target="../embeddings/oleObject_8_7.bin" /><Relationship Id="rId9" Type="http://schemas.openxmlformats.org/officeDocument/2006/relationships/oleObject" Target="../embeddings/oleObject_8_8.bin" /><Relationship Id="rId10" Type="http://schemas.openxmlformats.org/officeDocument/2006/relationships/oleObject" Target="../embeddings/oleObject_8_9.bin" /><Relationship Id="rId11" Type="http://schemas.openxmlformats.org/officeDocument/2006/relationships/oleObject" Target="../embeddings/oleObject_8_10.bin" /><Relationship Id="rId12" Type="http://schemas.openxmlformats.org/officeDocument/2006/relationships/oleObject" Target="../embeddings/oleObject_8_11.bin" /><Relationship Id="rId13" Type="http://schemas.openxmlformats.org/officeDocument/2006/relationships/oleObject" Target="../embeddings/oleObject_8_12.bin" /><Relationship Id="rId14" Type="http://schemas.openxmlformats.org/officeDocument/2006/relationships/vmlDrawing" Target="../drawings/vmlDrawing4.vml" /><Relationship Id="rId1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C1" sqref="C1"/>
    </sheetView>
  </sheetViews>
  <sheetFormatPr defaultColWidth="9.00390625" defaultRowHeight="13.5"/>
  <cols>
    <col min="1" max="16384" width="9.00390625" style="2" customWidth="1"/>
  </cols>
  <sheetData>
    <row r="1" ht="17.25">
      <c r="A1" s="135" t="s">
        <v>1</v>
      </c>
    </row>
    <row r="3" ht="13.5">
      <c r="A3" s="3" t="s">
        <v>0</v>
      </c>
    </row>
    <row r="4" spans="1:2" ht="13.5">
      <c r="A4" s="4" t="s">
        <v>87</v>
      </c>
      <c r="B4" s="5" t="s">
        <v>88</v>
      </c>
    </row>
    <row r="5" spans="1:2" ht="13.5">
      <c r="A5" s="6">
        <v>2</v>
      </c>
      <c r="B5" s="7">
        <v>0</v>
      </c>
    </row>
    <row r="6" spans="1:2" ht="13.5">
      <c r="A6" s="8">
        <v>3</v>
      </c>
      <c r="B6" s="9">
        <v>4</v>
      </c>
    </row>
    <row r="7" spans="1:2" ht="13.5">
      <c r="A7" s="8">
        <v>4</v>
      </c>
      <c r="B7" s="9">
        <v>10</v>
      </c>
    </row>
    <row r="8" spans="1:2" ht="13.5">
      <c r="A8" s="10">
        <v>5</v>
      </c>
      <c r="B8" s="11">
        <v>16</v>
      </c>
    </row>
    <row r="24" ht="13.5">
      <c r="A24" s="3" t="s">
        <v>1</v>
      </c>
    </row>
    <row r="25" spans="1:2" ht="13.5">
      <c r="A25" s="12" t="s">
        <v>87</v>
      </c>
      <c r="B25" s="13" t="s">
        <v>88</v>
      </c>
    </row>
    <row r="26" spans="1:2" ht="13.5">
      <c r="A26" s="14">
        <v>3.5</v>
      </c>
      <c r="B26" s="15">
        <f>B6+((B7-B6)/(A7-A6))*(A26-A6)</f>
        <v>7</v>
      </c>
    </row>
    <row r="27" spans="1:2" ht="13.5">
      <c r="A27" s="16">
        <v>4.2</v>
      </c>
      <c r="B27" s="17">
        <f>B7+((B8-B7)/(A8-A7))*(A27-A7)</f>
        <v>11.200000000000001</v>
      </c>
    </row>
    <row r="42" ht="14.25" thickBot="1"/>
    <row r="43" spans="2:6" ht="13.5">
      <c r="B43" s="18"/>
      <c r="C43" s="19"/>
      <c r="D43" s="19"/>
      <c r="E43" s="19"/>
      <c r="F43" s="20"/>
    </row>
    <row r="44" spans="2:6" ht="13.5">
      <c r="B44" s="21"/>
      <c r="C44" s="22" t="s">
        <v>20</v>
      </c>
      <c r="D44" s="23"/>
      <c r="E44" s="23"/>
      <c r="F44" s="24"/>
    </row>
    <row r="45" spans="2:6" ht="13.5">
      <c r="B45" s="21"/>
      <c r="C45" s="25" t="s">
        <v>58</v>
      </c>
      <c r="D45" s="26" t="s">
        <v>18</v>
      </c>
      <c r="E45" s="27" t="s">
        <v>19</v>
      </c>
      <c r="F45" s="24"/>
    </row>
    <row r="46" spans="2:6" ht="13.5">
      <c r="B46" s="21"/>
      <c r="C46" s="28">
        <v>1</v>
      </c>
      <c r="D46" s="29">
        <v>3</v>
      </c>
      <c r="E46" s="30">
        <v>4</v>
      </c>
      <c r="F46" s="24"/>
    </row>
    <row r="47" spans="2:6" ht="13.5">
      <c r="B47" s="21"/>
      <c r="C47" s="31">
        <v>2</v>
      </c>
      <c r="D47" s="32">
        <v>4</v>
      </c>
      <c r="E47" s="33">
        <v>10</v>
      </c>
      <c r="F47" s="24"/>
    </row>
    <row r="48" spans="2:6" ht="13.5">
      <c r="B48" s="21"/>
      <c r="C48" s="22" t="s">
        <v>21</v>
      </c>
      <c r="D48" s="23"/>
      <c r="E48" s="23"/>
      <c r="F48" s="24"/>
    </row>
    <row r="49" spans="2:6" ht="13.5">
      <c r="B49" s="21"/>
      <c r="C49" s="34" t="s">
        <v>18</v>
      </c>
      <c r="D49" s="35">
        <v>3.5</v>
      </c>
      <c r="E49" s="23" t="s">
        <v>34</v>
      </c>
      <c r="F49" s="24"/>
    </row>
    <row r="50" spans="2:6" ht="13.5">
      <c r="B50" s="21"/>
      <c r="C50" s="36" t="s">
        <v>19</v>
      </c>
      <c r="D50" s="37">
        <f>E46+((E47-E46)/(D47-D46))*(D49-D46)</f>
        <v>7</v>
      </c>
      <c r="E50" s="23" t="s">
        <v>35</v>
      </c>
      <c r="F50" s="24"/>
    </row>
    <row r="51" spans="2:6" ht="14.25" thickBot="1">
      <c r="B51" s="38"/>
      <c r="C51" s="39"/>
      <c r="D51" s="39"/>
      <c r="E51" s="39"/>
      <c r="F51" s="40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C1" sqref="C1"/>
    </sheetView>
  </sheetViews>
  <sheetFormatPr defaultColWidth="9.00390625" defaultRowHeight="13.5"/>
  <cols>
    <col min="1" max="1" width="9.00390625" style="176" customWidth="1"/>
    <col min="2" max="2" width="9.50390625" style="176" bestFit="1" customWidth="1"/>
    <col min="3" max="5" width="9.00390625" style="176" customWidth="1"/>
    <col min="6" max="6" width="10.50390625" style="176" bestFit="1" customWidth="1"/>
    <col min="7" max="16384" width="9.00390625" style="176" customWidth="1"/>
  </cols>
  <sheetData>
    <row r="1" ht="17.25">
      <c r="A1" s="135" t="s">
        <v>31</v>
      </c>
    </row>
    <row r="2" ht="13.5"/>
    <row r="3" spans="1:5" ht="15.75">
      <c r="A3" s="177"/>
      <c r="B3" s="177"/>
      <c r="E3" s="176" t="s">
        <v>119</v>
      </c>
    </row>
    <row r="4" ht="13.5"/>
    <row r="5" ht="13.5">
      <c r="A5" s="176" t="s">
        <v>120</v>
      </c>
    </row>
    <row r="6" spans="1:2" ht="13.5">
      <c r="A6" s="177"/>
      <c r="B6" s="177"/>
    </row>
    <row r="7" spans="1:2" ht="13.5">
      <c r="A7" s="177"/>
      <c r="B7" s="177"/>
    </row>
    <row r="8" ht="13.5"/>
    <row r="9" ht="16.5">
      <c r="A9" s="176" t="s">
        <v>121</v>
      </c>
    </row>
    <row r="10" spans="1:6" ht="16.5">
      <c r="A10" s="178" t="s">
        <v>82</v>
      </c>
      <c r="B10" s="179" t="s">
        <v>249</v>
      </c>
      <c r="C10" s="179" t="s">
        <v>250</v>
      </c>
      <c r="D10" s="179" t="s">
        <v>251</v>
      </c>
      <c r="E10" s="180" t="s">
        <v>211</v>
      </c>
      <c r="F10" s="181" t="s">
        <v>252</v>
      </c>
    </row>
    <row r="11" spans="1:6" ht="13.5">
      <c r="A11" s="182">
        <v>0</v>
      </c>
      <c r="B11" s="183">
        <v>0.8</v>
      </c>
      <c r="C11" s="184">
        <f>B11^4-5*B11^2+4</f>
        <v>1.2095999999999996</v>
      </c>
      <c r="D11" s="184">
        <f>4*B11^3-10*B11</f>
        <v>-5.952</v>
      </c>
      <c r="E11" s="185">
        <f>B11-(C11/D11)</f>
        <v>1.0032258064516129</v>
      </c>
      <c r="F11" s="186">
        <f>E11-B11</f>
        <v>0.2032258064516128</v>
      </c>
    </row>
    <row r="12" spans="1:6" ht="13.5">
      <c r="A12" s="187">
        <v>1</v>
      </c>
      <c r="B12" s="188">
        <f>E11</f>
        <v>1.0032258064516129</v>
      </c>
      <c r="C12" s="184">
        <f>B12^4-5*B12^2+4</f>
        <v>-0.019344298505393986</v>
      </c>
      <c r="D12" s="184">
        <f>4*B12^3-10*B12</f>
        <v>-5.993423382900876</v>
      </c>
      <c r="E12" s="185">
        <f>B12-(C12/D12)</f>
        <v>0.9999982189328364</v>
      </c>
      <c r="F12" s="186">
        <f>E12-B12</f>
        <v>-0.003227587518776498</v>
      </c>
    </row>
    <row r="13" spans="1:6" ht="13.5">
      <c r="A13" s="187">
        <v>2</v>
      </c>
      <c r="B13" s="188">
        <f>E12</f>
        <v>0.9999982189328364</v>
      </c>
      <c r="C13" s="184">
        <f>B13^4-5*B13^2+4</f>
        <v>1.0686406153759265E-05</v>
      </c>
      <c r="D13" s="184">
        <f>4*B13^3-10*B13</f>
        <v>-6.000003562096261</v>
      </c>
      <c r="E13" s="185">
        <f>B13-(C13/D13)</f>
        <v>0.9999999999994713</v>
      </c>
      <c r="F13" s="186">
        <f>E13-B13</f>
        <v>1.7810666349538096E-06</v>
      </c>
    </row>
    <row r="14" spans="1:6" ht="13.5">
      <c r="A14" s="189">
        <v>3</v>
      </c>
      <c r="B14" s="190">
        <f>E13</f>
        <v>0.9999999999994713</v>
      </c>
      <c r="C14" s="190">
        <f>B14^4-5*B14^2+4</f>
        <v>3.1716851367491472E-12</v>
      </c>
      <c r="D14" s="190">
        <f>4*B14^3-10*B14</f>
        <v>-6.000000000001058</v>
      </c>
      <c r="E14" s="191">
        <f>B14-(C14/D14)</f>
        <v>0.9999999999999999</v>
      </c>
      <c r="F14" s="192">
        <f>E14-B14</f>
        <v>5.28577182024037E-13</v>
      </c>
    </row>
    <row r="16" spans="1:7" ht="13.5">
      <c r="A16" s="193" t="s">
        <v>253</v>
      </c>
      <c r="B16" s="193"/>
      <c r="C16" s="193"/>
      <c r="D16" s="177"/>
      <c r="E16" s="177"/>
      <c r="F16" s="177"/>
      <c r="G16" s="177"/>
    </row>
    <row r="18" ht="13.5">
      <c r="A18" s="176" t="s">
        <v>122</v>
      </c>
    </row>
    <row r="20" spans="1:8" ht="17.25">
      <c r="A20" s="194" t="s">
        <v>254</v>
      </c>
      <c r="B20" s="195"/>
      <c r="C20" s="195"/>
      <c r="D20" s="195"/>
      <c r="E20" s="195"/>
      <c r="F20" s="195"/>
      <c r="G20" s="195"/>
      <c r="H20" s="196"/>
    </row>
    <row r="21" spans="1:8" ht="13.5">
      <c r="A21" s="197" t="s">
        <v>123</v>
      </c>
      <c r="B21" s="198"/>
      <c r="C21" s="198"/>
      <c r="D21" s="198"/>
      <c r="E21" s="198"/>
      <c r="F21" s="198"/>
      <c r="G21" s="198"/>
      <c r="H21" s="199"/>
    </row>
    <row r="22" spans="1:8" ht="17.25">
      <c r="A22" s="197" t="s">
        <v>255</v>
      </c>
      <c r="B22" s="198"/>
      <c r="C22" s="198"/>
      <c r="D22" s="198"/>
      <c r="E22" s="198"/>
      <c r="F22" s="198"/>
      <c r="G22" s="198"/>
      <c r="H22" s="199"/>
    </row>
    <row r="23" spans="1:8" ht="16.5">
      <c r="A23" s="197" t="s">
        <v>124</v>
      </c>
      <c r="B23" s="198"/>
      <c r="C23" s="198"/>
      <c r="D23" s="198"/>
      <c r="E23" s="198"/>
      <c r="F23" s="198"/>
      <c r="G23" s="198"/>
      <c r="H23" s="199"/>
    </row>
    <row r="24" spans="1:8" ht="16.5">
      <c r="A24" s="197" t="s">
        <v>256</v>
      </c>
      <c r="B24" s="198"/>
      <c r="C24" s="198"/>
      <c r="D24" s="198"/>
      <c r="E24" s="198"/>
      <c r="F24" s="198"/>
      <c r="G24" s="198"/>
      <c r="H24" s="199"/>
    </row>
    <row r="25" spans="1:8" ht="16.5">
      <c r="A25" s="197" t="s">
        <v>257</v>
      </c>
      <c r="B25" s="198"/>
      <c r="C25" s="198"/>
      <c r="D25" s="198"/>
      <c r="E25" s="198"/>
      <c r="F25" s="198"/>
      <c r="G25" s="198"/>
      <c r="H25" s="199"/>
    </row>
    <row r="26" spans="1:8" ht="16.5">
      <c r="A26" s="197" t="s">
        <v>258</v>
      </c>
      <c r="B26" s="198"/>
      <c r="C26" s="198"/>
      <c r="D26" s="198"/>
      <c r="E26" s="198"/>
      <c r="F26" s="198"/>
      <c r="G26" s="198"/>
      <c r="H26" s="199"/>
    </row>
    <row r="27" spans="1:8" ht="13.5">
      <c r="A27" s="197" t="s">
        <v>259</v>
      </c>
      <c r="B27" s="198"/>
      <c r="C27" s="198"/>
      <c r="D27" s="198"/>
      <c r="E27" s="198"/>
      <c r="F27" s="198"/>
      <c r="G27" s="198"/>
      <c r="H27" s="199"/>
    </row>
    <row r="28" spans="1:8" ht="16.5">
      <c r="A28" s="200" t="s">
        <v>260</v>
      </c>
      <c r="B28" s="201"/>
      <c r="C28" s="201"/>
      <c r="D28" s="201"/>
      <c r="E28" s="201"/>
      <c r="F28" s="201"/>
      <c r="G28" s="201"/>
      <c r="H28" s="202"/>
    </row>
    <row r="29" ht="14.25" thickBot="1"/>
    <row r="30" spans="1:2" ht="17.25" thickBot="1">
      <c r="A30" s="203" t="s">
        <v>261</v>
      </c>
      <c r="B30" s="204">
        <v>1</v>
      </c>
    </row>
    <row r="31" spans="1:9" ht="16.5">
      <c r="A31" s="205"/>
      <c r="B31" s="206"/>
      <c r="C31" s="207" t="s">
        <v>262</v>
      </c>
      <c r="D31" s="208"/>
      <c r="E31" s="207" t="s">
        <v>263</v>
      </c>
      <c r="F31" s="208"/>
      <c r="G31" s="207" t="s">
        <v>264</v>
      </c>
      <c r="H31" s="206"/>
      <c r="I31" s="209" t="s">
        <v>265</v>
      </c>
    </row>
    <row r="32" spans="1:9" ht="16.5" thickBot="1">
      <c r="A32" s="210" t="s">
        <v>266</v>
      </c>
      <c r="B32" s="211" t="s">
        <v>267</v>
      </c>
      <c r="C32" s="212">
        <v>0</v>
      </c>
      <c r="D32" s="211" t="s">
        <v>268</v>
      </c>
      <c r="E32" s="212">
        <v>-5</v>
      </c>
      <c r="F32" s="211" t="s">
        <v>269</v>
      </c>
      <c r="G32" s="212">
        <v>0</v>
      </c>
      <c r="H32" s="211" t="s">
        <v>270</v>
      </c>
      <c r="I32" s="213">
        <v>4</v>
      </c>
    </row>
    <row r="33" spans="1:7" ht="16.5">
      <c r="A33" s="205"/>
      <c r="B33" s="206"/>
      <c r="C33" s="214" t="s">
        <v>271</v>
      </c>
      <c r="D33" s="208"/>
      <c r="E33" s="214" t="s">
        <v>272</v>
      </c>
      <c r="F33" s="208"/>
      <c r="G33" s="215" t="s">
        <v>273</v>
      </c>
    </row>
    <row r="34" spans="1:7" ht="16.5" thickBot="1">
      <c r="A34" s="216" t="s">
        <v>274</v>
      </c>
      <c r="B34" s="211" t="s">
        <v>268</v>
      </c>
      <c r="C34" s="217">
        <f>C32+B30</f>
        <v>1</v>
      </c>
      <c r="D34" s="211" t="s">
        <v>269</v>
      </c>
      <c r="E34" s="217">
        <f>E32+C34*B30</f>
        <v>-4</v>
      </c>
      <c r="F34" s="211" t="s">
        <v>270</v>
      </c>
      <c r="G34" s="218">
        <f>G32+E34*B30</f>
        <v>-4</v>
      </c>
    </row>
    <row r="36" ht="15.75">
      <c r="A36" s="176" t="s">
        <v>125</v>
      </c>
    </row>
    <row r="38" ht="16.5">
      <c r="A38" s="176" t="s">
        <v>126</v>
      </c>
    </row>
    <row r="39" spans="1:6" ht="16.5">
      <c r="A39" s="178" t="s">
        <v>82</v>
      </c>
      <c r="B39" s="179" t="s">
        <v>249</v>
      </c>
      <c r="C39" s="179" t="s">
        <v>275</v>
      </c>
      <c r="D39" s="179" t="s">
        <v>276</v>
      </c>
      <c r="E39" s="180" t="s">
        <v>211</v>
      </c>
      <c r="F39" s="181" t="s">
        <v>252</v>
      </c>
    </row>
    <row r="40" spans="1:6" ht="13.5">
      <c r="A40" s="219">
        <v>0</v>
      </c>
      <c r="B40" s="220">
        <v>1.5</v>
      </c>
      <c r="C40" s="221">
        <f aca="true" t="shared" si="0" ref="C40:C45">B40^3+B40^2-4*B40-4</f>
        <v>-4.375</v>
      </c>
      <c r="D40" s="221">
        <f aca="true" t="shared" si="1" ref="D40:D45">3*B40^2+2*B40-4</f>
        <v>5.75</v>
      </c>
      <c r="E40" s="222">
        <f aca="true" t="shared" si="2" ref="E40:E45">B40-(C40/D40)</f>
        <v>2.2608695652173916</v>
      </c>
      <c r="F40" s="223">
        <f aca="true" t="shared" si="3" ref="F40:F45">E40-B40</f>
        <v>0.7608695652173916</v>
      </c>
    </row>
    <row r="41" spans="1:6" ht="13.5">
      <c r="A41" s="187">
        <v>1</v>
      </c>
      <c r="B41" s="188">
        <f>E40</f>
        <v>2.2608695652173916</v>
      </c>
      <c r="C41" s="184">
        <f t="shared" si="0"/>
        <v>3.6245582312813376</v>
      </c>
      <c r="D41" s="184">
        <f t="shared" si="1"/>
        <v>15.856332703213614</v>
      </c>
      <c r="E41" s="224">
        <f t="shared" si="2"/>
        <v>2.0322821421907076</v>
      </c>
      <c r="F41" s="186">
        <f t="shared" si="3"/>
        <v>-0.228587423026684</v>
      </c>
    </row>
    <row r="42" spans="1:6" ht="13.5">
      <c r="A42" s="187">
        <v>2</v>
      </c>
      <c r="B42" s="188">
        <f>E41</f>
        <v>2.0322821421907076</v>
      </c>
      <c r="C42" s="184">
        <f t="shared" si="0"/>
        <v>0.39471430562471355</v>
      </c>
      <c r="D42" s="184">
        <f t="shared" si="1"/>
        <v>12.45507640078317</v>
      </c>
      <c r="E42" s="224">
        <f t="shared" si="2"/>
        <v>2.000591103699776</v>
      </c>
      <c r="F42" s="186">
        <f t="shared" si="3"/>
        <v>-0.03169103849093169</v>
      </c>
    </row>
    <row r="43" spans="1:6" ht="13.5">
      <c r="A43" s="225">
        <v>3</v>
      </c>
      <c r="B43" s="226">
        <f>E42</f>
        <v>2.000591103699776</v>
      </c>
      <c r="C43" s="184">
        <f t="shared" si="0"/>
        <v>0.00709569042893321</v>
      </c>
      <c r="D43" s="184">
        <f t="shared" si="1"/>
        <v>12.008276500007614</v>
      </c>
      <c r="E43" s="227">
        <f t="shared" si="2"/>
        <v>2.000000203712677</v>
      </c>
      <c r="F43" s="228">
        <f t="shared" si="3"/>
        <v>-0.0005908999870989362</v>
      </c>
    </row>
    <row r="44" spans="1:6" ht="13.5">
      <c r="A44" s="187">
        <v>4</v>
      </c>
      <c r="B44" s="188">
        <f>E43</f>
        <v>2.000000203712677</v>
      </c>
      <c r="C44" s="184">
        <f t="shared" si="0"/>
        <v>2.4445524147154174E-06</v>
      </c>
      <c r="D44" s="184">
        <f t="shared" si="1"/>
        <v>12.000002851977602</v>
      </c>
      <c r="E44" s="229">
        <f t="shared" si="2"/>
        <v>2.000000000000024</v>
      </c>
      <c r="F44" s="230">
        <f t="shared" si="3"/>
        <v>-2.0371265296859065E-07</v>
      </c>
    </row>
    <row r="45" spans="1:6" ht="13.5">
      <c r="A45" s="189">
        <v>5</v>
      </c>
      <c r="B45" s="190">
        <f>E44</f>
        <v>2.000000000000024</v>
      </c>
      <c r="C45" s="231">
        <f t="shared" si="0"/>
        <v>2.877698079828406E-13</v>
      </c>
      <c r="D45" s="231">
        <f t="shared" si="1"/>
        <v>12.000000000000334</v>
      </c>
      <c r="E45" s="232">
        <f t="shared" si="2"/>
        <v>2</v>
      </c>
      <c r="F45" s="192">
        <f t="shared" si="3"/>
        <v>-2.398081733190338E-14</v>
      </c>
    </row>
    <row r="47" spans="1:3" ht="13.5">
      <c r="A47" s="193" t="s">
        <v>127</v>
      </c>
      <c r="B47" s="193"/>
      <c r="C47" s="193"/>
    </row>
    <row r="49" ht="14.25" thickBot="1">
      <c r="A49" s="176" t="s">
        <v>277</v>
      </c>
    </row>
    <row r="50" spans="1:2" ht="17.25" thickBot="1">
      <c r="A50" s="203" t="s">
        <v>278</v>
      </c>
      <c r="B50" s="204">
        <v>2</v>
      </c>
    </row>
    <row r="51" spans="1:7" ht="16.5">
      <c r="A51" s="205"/>
      <c r="B51" s="206"/>
      <c r="C51" s="207" t="s">
        <v>279</v>
      </c>
      <c r="D51" s="208"/>
      <c r="E51" s="207" t="s">
        <v>280</v>
      </c>
      <c r="F51" s="208"/>
      <c r="G51" s="209" t="s">
        <v>281</v>
      </c>
    </row>
    <row r="52" spans="1:7" ht="16.5" thickBot="1">
      <c r="A52" s="216" t="s">
        <v>282</v>
      </c>
      <c r="B52" s="211" t="s">
        <v>283</v>
      </c>
      <c r="C52" s="212">
        <f>C34</f>
        <v>1</v>
      </c>
      <c r="D52" s="211" t="s">
        <v>284</v>
      </c>
      <c r="E52" s="212">
        <f>E34</f>
        <v>-4</v>
      </c>
      <c r="F52" s="211" t="s">
        <v>285</v>
      </c>
      <c r="G52" s="213">
        <f>G34</f>
        <v>-4</v>
      </c>
    </row>
    <row r="53" spans="1:5" ht="16.5">
      <c r="A53" s="205"/>
      <c r="B53" s="206"/>
      <c r="C53" s="214" t="s">
        <v>286</v>
      </c>
      <c r="D53" s="208"/>
      <c r="E53" s="215" t="s">
        <v>287</v>
      </c>
    </row>
    <row r="54" spans="1:5" ht="16.5" thickBot="1">
      <c r="A54" s="216" t="s">
        <v>288</v>
      </c>
      <c r="B54" s="211" t="s">
        <v>284</v>
      </c>
      <c r="C54" s="217">
        <f>C52+B50</f>
        <v>3</v>
      </c>
      <c r="D54" s="211" t="s">
        <v>285</v>
      </c>
      <c r="E54" s="218">
        <f>E52+C54*B50</f>
        <v>2</v>
      </c>
    </row>
    <row r="56" ht="15.75">
      <c r="A56" s="176" t="s">
        <v>128</v>
      </c>
    </row>
    <row r="58" ht="16.5">
      <c r="A58" s="176" t="s">
        <v>129</v>
      </c>
    </row>
    <row r="59" spans="1:6" ht="16.5">
      <c r="A59" s="178" t="s">
        <v>82</v>
      </c>
      <c r="B59" s="179" t="s">
        <v>249</v>
      </c>
      <c r="C59" s="179" t="s">
        <v>289</v>
      </c>
      <c r="D59" s="179" t="s">
        <v>290</v>
      </c>
      <c r="E59" s="180" t="s">
        <v>211</v>
      </c>
      <c r="F59" s="181" t="s">
        <v>252</v>
      </c>
    </row>
    <row r="60" spans="1:6" ht="13.5">
      <c r="A60" s="182">
        <v>0</v>
      </c>
      <c r="B60" s="183">
        <v>-0.5</v>
      </c>
      <c r="C60" s="184">
        <f aca="true" t="shared" si="4" ref="C60:C65">B60^2+3*B60+2</f>
        <v>0.75</v>
      </c>
      <c r="D60" s="184">
        <f aca="true" t="shared" si="5" ref="D60:D65">2*B60+3</f>
        <v>2</v>
      </c>
      <c r="E60" s="224">
        <f aca="true" t="shared" si="6" ref="E60:E65">B60-(C60/D60)</f>
        <v>-0.875</v>
      </c>
      <c r="F60" s="186">
        <f aca="true" t="shared" si="7" ref="F60:F65">E60-B60</f>
        <v>-0.375</v>
      </c>
    </row>
    <row r="61" spans="1:6" ht="13.5">
      <c r="A61" s="187">
        <v>1</v>
      </c>
      <c r="B61" s="188">
        <f>E60</f>
        <v>-0.875</v>
      </c>
      <c r="C61" s="184">
        <f t="shared" si="4"/>
        <v>0.140625</v>
      </c>
      <c r="D61" s="184">
        <f t="shared" si="5"/>
        <v>1.25</v>
      </c>
      <c r="E61" s="224">
        <f t="shared" si="6"/>
        <v>-0.9875</v>
      </c>
      <c r="F61" s="186">
        <f t="shared" si="7"/>
        <v>-0.11250000000000004</v>
      </c>
    </row>
    <row r="62" spans="1:6" ht="13.5">
      <c r="A62" s="187">
        <v>2</v>
      </c>
      <c r="B62" s="188">
        <f>E61</f>
        <v>-0.9875</v>
      </c>
      <c r="C62" s="184">
        <f t="shared" si="4"/>
        <v>0.012656249999999591</v>
      </c>
      <c r="D62" s="184">
        <f t="shared" si="5"/>
        <v>1.025</v>
      </c>
      <c r="E62" s="224">
        <f t="shared" si="6"/>
        <v>-0.9998475609756095</v>
      </c>
      <c r="F62" s="186">
        <f t="shared" si="7"/>
        <v>-0.012347560975609406</v>
      </c>
    </row>
    <row r="63" spans="1:6" ht="13.5">
      <c r="A63" s="225">
        <v>3</v>
      </c>
      <c r="B63" s="226">
        <f>E62</f>
        <v>-0.9998475609756095</v>
      </c>
      <c r="C63" s="184">
        <f t="shared" si="4"/>
        <v>0.00015246226204679303</v>
      </c>
      <c r="D63" s="184">
        <f t="shared" si="5"/>
        <v>1.000304878048781</v>
      </c>
      <c r="E63" s="224">
        <f t="shared" si="6"/>
        <v>-0.9999999767694264</v>
      </c>
      <c r="F63" s="228">
        <f t="shared" si="7"/>
        <v>-0.00015241579381697345</v>
      </c>
    </row>
    <row r="64" spans="1:6" ht="13.5">
      <c r="A64" s="187">
        <v>4</v>
      </c>
      <c r="B64" s="188">
        <f>E63</f>
        <v>-0.9999999767694264</v>
      </c>
      <c r="C64" s="184">
        <f t="shared" si="4"/>
        <v>2.3230574353050315E-08</v>
      </c>
      <c r="D64" s="184">
        <f t="shared" si="5"/>
        <v>1.0000000464611472</v>
      </c>
      <c r="E64" s="224">
        <f t="shared" si="6"/>
        <v>-0.9999999999999997</v>
      </c>
      <c r="F64" s="230">
        <f t="shared" si="7"/>
        <v>-2.323057324282729E-08</v>
      </c>
    </row>
    <row r="65" spans="1:6" ht="13.5">
      <c r="A65" s="189">
        <v>5</v>
      </c>
      <c r="B65" s="190">
        <f>E64</f>
        <v>-0.9999999999999997</v>
      </c>
      <c r="C65" s="190">
        <f t="shared" si="4"/>
        <v>0</v>
      </c>
      <c r="D65" s="190">
        <f t="shared" si="5"/>
        <v>1.0000000000000007</v>
      </c>
      <c r="E65" s="232">
        <f t="shared" si="6"/>
        <v>-0.9999999999999997</v>
      </c>
      <c r="F65" s="192">
        <f t="shared" si="7"/>
        <v>0</v>
      </c>
    </row>
    <row r="67" spans="1:3" ht="13.5">
      <c r="A67" s="193" t="s">
        <v>130</v>
      </c>
      <c r="B67" s="193"/>
      <c r="C67" s="193"/>
    </row>
    <row r="69" ht="14.25" thickBot="1">
      <c r="A69" s="176" t="s">
        <v>291</v>
      </c>
    </row>
    <row r="70" spans="1:2" ht="17.25" thickBot="1">
      <c r="A70" s="203" t="s">
        <v>278</v>
      </c>
      <c r="B70" s="204">
        <v>-1</v>
      </c>
    </row>
    <row r="71" spans="1:5" ht="16.5">
      <c r="A71" s="205"/>
      <c r="B71" s="206"/>
      <c r="C71" s="207" t="s">
        <v>279</v>
      </c>
      <c r="D71" s="208"/>
      <c r="E71" s="209" t="s">
        <v>280</v>
      </c>
    </row>
    <row r="72" spans="1:5" ht="16.5" thickBot="1">
      <c r="A72" s="216" t="s">
        <v>288</v>
      </c>
      <c r="B72" s="211" t="s">
        <v>284</v>
      </c>
      <c r="C72" s="212">
        <f>C54</f>
        <v>3</v>
      </c>
      <c r="D72" s="211" t="s">
        <v>285</v>
      </c>
      <c r="E72" s="213">
        <f>E54</f>
        <v>2</v>
      </c>
    </row>
    <row r="73" spans="1:3" ht="16.5">
      <c r="A73" s="205"/>
      <c r="B73" s="206"/>
      <c r="C73" s="215" t="s">
        <v>286</v>
      </c>
    </row>
    <row r="74" spans="1:3" ht="14.25" thickBot="1">
      <c r="A74" s="216" t="s">
        <v>292</v>
      </c>
      <c r="B74" s="211" t="s">
        <v>285</v>
      </c>
      <c r="C74" s="218">
        <f>C72+B70</f>
        <v>2</v>
      </c>
    </row>
    <row r="76" ht="13.5">
      <c r="A76" s="176" t="s">
        <v>293</v>
      </c>
    </row>
    <row r="77" ht="13.5">
      <c r="A77" s="176" t="s">
        <v>131</v>
      </c>
    </row>
    <row r="78" spans="1:4" ht="13.5">
      <c r="A78" s="193" t="s">
        <v>132</v>
      </c>
      <c r="B78" s="193"/>
      <c r="C78" s="193"/>
      <c r="D78" s="193"/>
    </row>
    <row r="80" spans="1:7" ht="13.5">
      <c r="A80" s="233" t="s">
        <v>133</v>
      </c>
      <c r="B80" s="233"/>
      <c r="C80" s="233"/>
      <c r="D80" s="233"/>
      <c r="E80" s="233"/>
      <c r="F80" s="233"/>
      <c r="G80" s="233"/>
    </row>
  </sheetData>
  <printOptions/>
  <pageMargins left="0.75" right="0.75" top="1" bottom="1" header="0.512" footer="0.512"/>
  <pageSetup horizontalDpi="600" verticalDpi="600" orientation="portrait" paperSize="9" r:id="rId5"/>
  <legacyDrawing r:id="rId4"/>
  <oleObjects>
    <oleObject progId="Equation.3" shapeId="970617" r:id="rId1"/>
    <oleObject progId="Equation.3" shapeId="970618" r:id="rId2"/>
    <oleObject progId="Equation.3" shapeId="70385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">
      <selection activeCell="D1" sqref="D1"/>
    </sheetView>
  </sheetViews>
  <sheetFormatPr defaultColWidth="9.00390625" defaultRowHeight="13.5"/>
  <cols>
    <col min="1" max="9" width="9.625" style="176" customWidth="1"/>
    <col min="10" max="16384" width="9.00390625" style="176" customWidth="1"/>
  </cols>
  <sheetData>
    <row r="1" ht="17.25">
      <c r="A1" s="135" t="s">
        <v>32</v>
      </c>
    </row>
    <row r="2" ht="13.5"/>
    <row r="3" spans="1:5" ht="16.5">
      <c r="A3" s="177"/>
      <c r="B3" s="177"/>
      <c r="C3" s="177"/>
      <c r="E3" s="176" t="s">
        <v>294</v>
      </c>
    </row>
    <row r="4" spans="1:5" ht="16.5">
      <c r="A4" s="177"/>
      <c r="B4" s="177"/>
      <c r="C4" s="177"/>
      <c r="E4" s="176" t="s">
        <v>295</v>
      </c>
    </row>
    <row r="5" ht="13.5"/>
    <row r="7" spans="1:2" ht="13.5">
      <c r="A7" s="177" t="s">
        <v>22</v>
      </c>
      <c r="B7" s="177"/>
    </row>
    <row r="8" spans="1:2" ht="13.5">
      <c r="A8" s="177"/>
      <c r="B8" s="177"/>
    </row>
    <row r="9" spans="1:2" ht="13.5">
      <c r="A9" s="177"/>
      <c r="B9" s="177"/>
    </row>
    <row r="10" spans="1:2" ht="13.5">
      <c r="A10" s="177"/>
      <c r="B10" s="177"/>
    </row>
    <row r="11" spans="1:2" ht="13.5">
      <c r="A11" s="177"/>
      <c r="B11" s="177"/>
    </row>
    <row r="12" spans="1:2" ht="13.5">
      <c r="A12" s="177"/>
      <c r="B12" s="177"/>
    </row>
    <row r="13" spans="1:2" ht="13.5">
      <c r="A13" s="177"/>
      <c r="B13" s="177"/>
    </row>
    <row r="14" spans="1:2" ht="13.5">
      <c r="A14" s="177"/>
      <c r="B14" s="177"/>
    </row>
    <row r="16" ht="13.5">
      <c r="A16" s="3" t="s">
        <v>24</v>
      </c>
    </row>
    <row r="17" spans="1:9" ht="16.5">
      <c r="A17" s="234" t="s">
        <v>296</v>
      </c>
      <c r="B17" s="235" t="s">
        <v>297</v>
      </c>
      <c r="C17" s="163" t="s">
        <v>298</v>
      </c>
      <c r="D17" s="235" t="s">
        <v>299</v>
      </c>
      <c r="E17" s="235" t="s">
        <v>300</v>
      </c>
      <c r="F17" s="235" t="s">
        <v>301</v>
      </c>
      <c r="G17" s="235" t="s">
        <v>302</v>
      </c>
      <c r="H17" s="235" t="s">
        <v>303</v>
      </c>
      <c r="I17" s="235" t="s">
        <v>304</v>
      </c>
    </row>
    <row r="18" spans="1:9" ht="13.5">
      <c r="A18" s="235">
        <v>1</v>
      </c>
      <c r="B18" s="236">
        <v>0.1</v>
      </c>
      <c r="C18" s="236">
        <v>0.1</v>
      </c>
      <c r="D18" s="237">
        <f>1/B18</f>
        <v>10</v>
      </c>
      <c r="E18" s="237">
        <v>1</v>
      </c>
      <c r="F18" s="237">
        <v>1</v>
      </c>
      <c r="G18" s="237">
        <f>1/C18</f>
        <v>10</v>
      </c>
      <c r="H18" s="238">
        <f>LN(B18)+C18+0.7506</f>
        <v>-1.4519850929940454</v>
      </c>
      <c r="I18" s="238">
        <f>B18+LN(C18)+0.9727</f>
        <v>-1.2298850929940452</v>
      </c>
    </row>
    <row r="20" ht="13.5">
      <c r="B20" s="176" t="s">
        <v>305</v>
      </c>
    </row>
    <row r="21" ht="13.5">
      <c r="B21" s="176" t="s">
        <v>306</v>
      </c>
    </row>
    <row r="23" ht="13.5">
      <c r="A23" s="176" t="s">
        <v>6</v>
      </c>
    </row>
    <row r="25" spans="2:9" ht="13.5">
      <c r="B25" s="239">
        <f>D18</f>
        <v>10</v>
      </c>
      <c r="C25" s="240">
        <f>E18</f>
        <v>1</v>
      </c>
      <c r="D25" s="337" t="s">
        <v>307</v>
      </c>
      <c r="E25" s="241" t="s">
        <v>308</v>
      </c>
      <c r="F25" s="319" t="s">
        <v>309</v>
      </c>
      <c r="G25" s="242">
        <f>-H18</f>
        <v>1.4519850929940454</v>
      </c>
      <c r="H25" s="243" t="s">
        <v>310</v>
      </c>
      <c r="I25" s="176" t="s">
        <v>15</v>
      </c>
    </row>
    <row r="26" spans="2:9" ht="13.5">
      <c r="B26" s="239">
        <f>F18</f>
        <v>1</v>
      </c>
      <c r="C26" s="240">
        <f>G18</f>
        <v>10</v>
      </c>
      <c r="D26" s="337"/>
      <c r="E26" s="241" t="s">
        <v>311</v>
      </c>
      <c r="F26" s="319"/>
      <c r="G26" s="242">
        <f>-I18</f>
        <v>1.2298850929940452</v>
      </c>
      <c r="H26" s="243" t="s">
        <v>312</v>
      </c>
      <c r="I26" s="176" t="s">
        <v>16</v>
      </c>
    </row>
    <row r="28" spans="1:5" ht="13.5">
      <c r="A28" s="176" t="s">
        <v>77</v>
      </c>
      <c r="E28" s="244">
        <f>B26/B25</f>
        <v>0.1</v>
      </c>
    </row>
    <row r="29" spans="2:7" ht="13.5" customHeight="1">
      <c r="B29" s="239">
        <f>B25</f>
        <v>10</v>
      </c>
      <c r="C29" s="240">
        <f>C25</f>
        <v>1</v>
      </c>
      <c r="D29" s="337" t="s">
        <v>313</v>
      </c>
      <c r="E29" s="241" t="s">
        <v>314</v>
      </c>
      <c r="F29" s="319" t="s">
        <v>315</v>
      </c>
      <c r="G29" s="242">
        <f>G25</f>
        <v>1.4519850929940454</v>
      </c>
    </row>
    <row r="30" spans="2:9" ht="13.5" customHeight="1">
      <c r="B30" s="239">
        <f>B26-E28*B25</f>
        <v>0</v>
      </c>
      <c r="C30" s="240">
        <f>C26-E28*C25</f>
        <v>9.9</v>
      </c>
      <c r="D30" s="337"/>
      <c r="E30" s="241" t="s">
        <v>316</v>
      </c>
      <c r="F30" s="319"/>
      <c r="G30" s="242">
        <f>G26-E28*G25</f>
        <v>1.0846865836946407</v>
      </c>
      <c r="H30" s="243"/>
      <c r="I30" s="245"/>
    </row>
    <row r="31" spans="2:3" ht="13.5" customHeight="1">
      <c r="B31" s="246"/>
      <c r="C31" s="246"/>
    </row>
    <row r="32" spans="2:9" ht="13.5" customHeight="1">
      <c r="B32" s="246"/>
      <c r="C32" s="246"/>
      <c r="E32" s="247" t="s">
        <v>316</v>
      </c>
      <c r="F32" s="248" t="s">
        <v>315</v>
      </c>
      <c r="G32" s="249">
        <f>G30/C30</f>
        <v>0.10956430138329704</v>
      </c>
      <c r="H32" s="243"/>
      <c r="I32" s="245"/>
    </row>
    <row r="33" spans="2:3" ht="13.5" customHeight="1">
      <c r="B33" s="246"/>
      <c r="C33" s="246"/>
    </row>
    <row r="34" spans="2:7" ht="13.5" customHeight="1">
      <c r="B34" s="239">
        <f>B29</f>
        <v>10</v>
      </c>
      <c r="C34" s="240">
        <f>C29</f>
        <v>1</v>
      </c>
      <c r="D34" s="250" t="s">
        <v>313</v>
      </c>
      <c r="E34" s="241" t="s">
        <v>314</v>
      </c>
      <c r="F34" s="251" t="s">
        <v>315</v>
      </c>
      <c r="G34" s="242">
        <f>G29</f>
        <v>1.4519850929940454</v>
      </c>
    </row>
    <row r="35" ht="13.5" customHeight="1">
      <c r="E35" s="241" t="s">
        <v>316</v>
      </c>
    </row>
    <row r="36" ht="13.5" customHeight="1"/>
    <row r="37" spans="5:9" ht="13.5" customHeight="1">
      <c r="E37" s="247" t="s">
        <v>314</v>
      </c>
      <c r="F37" s="248" t="s">
        <v>315</v>
      </c>
      <c r="G37" s="252">
        <f>(G34-C34*G32)/B34</f>
        <v>0.13424207916107483</v>
      </c>
      <c r="H37" s="243"/>
      <c r="I37" s="245"/>
    </row>
    <row r="38" ht="13.5" customHeight="1"/>
    <row r="39" spans="5:6" ht="13.5" customHeight="1">
      <c r="E39" s="253" t="s">
        <v>317</v>
      </c>
      <c r="F39" s="254">
        <f>G37</f>
        <v>0.13424207916107483</v>
      </c>
    </row>
    <row r="40" spans="5:6" ht="13.5" customHeight="1">
      <c r="E40" s="255" t="s">
        <v>318</v>
      </c>
      <c r="F40" s="256">
        <f>G32</f>
        <v>0.10956430138329704</v>
      </c>
    </row>
    <row r="42" spans="1:5" ht="16.5">
      <c r="A42" s="234" t="s">
        <v>319</v>
      </c>
      <c r="B42" s="235" t="s">
        <v>320</v>
      </c>
      <c r="C42" s="163" t="s">
        <v>321</v>
      </c>
      <c r="D42" s="235" t="s">
        <v>322</v>
      </c>
      <c r="E42" s="163" t="s">
        <v>323</v>
      </c>
    </row>
    <row r="43" spans="1:5" ht="13.5">
      <c r="A43" s="235">
        <v>1</v>
      </c>
      <c r="B43" s="236">
        <f>B18</f>
        <v>0.1</v>
      </c>
      <c r="C43" s="236">
        <f>C18</f>
        <v>0.1</v>
      </c>
      <c r="D43" s="257">
        <f>B43+F39</f>
        <v>0.23424207916107484</v>
      </c>
      <c r="E43" s="257">
        <f>C43+F40</f>
        <v>0.20956430138329704</v>
      </c>
    </row>
    <row r="45" ht="13.5">
      <c r="A45" s="3" t="s">
        <v>23</v>
      </c>
    </row>
    <row r="46" spans="1:9" ht="16.5">
      <c r="A46" s="234" t="s">
        <v>319</v>
      </c>
      <c r="B46" s="235" t="s">
        <v>324</v>
      </c>
      <c r="C46" s="163" t="s">
        <v>325</v>
      </c>
      <c r="D46" s="235" t="s">
        <v>326</v>
      </c>
      <c r="E46" s="235" t="s">
        <v>327</v>
      </c>
      <c r="F46" s="235" t="s">
        <v>328</v>
      </c>
      <c r="G46" s="235" t="s">
        <v>329</v>
      </c>
      <c r="H46" s="235" t="s">
        <v>330</v>
      </c>
      <c r="I46" s="235" t="s">
        <v>331</v>
      </c>
    </row>
    <row r="47" spans="1:9" ht="13.5">
      <c r="A47" s="235">
        <v>2</v>
      </c>
      <c r="B47" s="236">
        <f>D43</f>
        <v>0.23424207916107484</v>
      </c>
      <c r="C47" s="236">
        <f>E43</f>
        <v>0.20956430138329704</v>
      </c>
      <c r="D47" s="237">
        <f>1/B47</f>
        <v>4.26908778978331</v>
      </c>
      <c r="E47" s="237">
        <v>1</v>
      </c>
      <c r="F47" s="237">
        <v>1</v>
      </c>
      <c r="G47" s="237">
        <f>1/C47</f>
        <v>4.771805089889719</v>
      </c>
      <c r="H47" s="238">
        <f>LN(B47)+C47+0.7506</f>
        <v>-0.4912358706653427</v>
      </c>
      <c r="I47" s="238">
        <f>B47+LN(C47)+0.9727</f>
        <v>-0.3557825797076847</v>
      </c>
    </row>
    <row r="49" ht="13.5">
      <c r="B49" s="176" t="s">
        <v>332</v>
      </c>
    </row>
    <row r="50" ht="13.5">
      <c r="B50" s="176" t="s">
        <v>333</v>
      </c>
    </row>
    <row r="52" ht="13.5">
      <c r="A52" s="176" t="s">
        <v>6</v>
      </c>
    </row>
    <row r="54" spans="2:9" ht="13.5">
      <c r="B54" s="239">
        <f>D47</f>
        <v>4.26908778978331</v>
      </c>
      <c r="C54" s="240">
        <f>E47</f>
        <v>1</v>
      </c>
      <c r="D54" s="337" t="s">
        <v>307</v>
      </c>
      <c r="E54" s="241" t="s">
        <v>308</v>
      </c>
      <c r="F54" s="319" t="s">
        <v>309</v>
      </c>
      <c r="G54" s="242">
        <f>-H47</f>
        <v>0.4912358706653427</v>
      </c>
      <c r="H54" s="243" t="s">
        <v>310</v>
      </c>
      <c r="I54" s="176" t="s">
        <v>15</v>
      </c>
    </row>
    <row r="55" spans="2:9" ht="13.5">
      <c r="B55" s="239">
        <f>F47</f>
        <v>1</v>
      </c>
      <c r="C55" s="240">
        <f>G47</f>
        <v>4.771805089889719</v>
      </c>
      <c r="D55" s="337"/>
      <c r="E55" s="241" t="s">
        <v>311</v>
      </c>
      <c r="F55" s="319"/>
      <c r="G55" s="242">
        <f>-I47</f>
        <v>0.3557825797076847</v>
      </c>
      <c r="H55" s="243" t="s">
        <v>312</v>
      </c>
      <c r="I55" s="176" t="s">
        <v>16</v>
      </c>
    </row>
    <row r="56" spans="2:7" ht="13.5">
      <c r="B56" s="258"/>
      <c r="C56" s="258"/>
      <c r="D56" s="259"/>
      <c r="E56" s="251"/>
      <c r="F56" s="259"/>
      <c r="G56" s="243"/>
    </row>
    <row r="57" spans="1:5" ht="13.5">
      <c r="A57" s="176" t="s">
        <v>77</v>
      </c>
      <c r="E57" s="244">
        <f>B55/B54</f>
        <v>0.2342420791610748</v>
      </c>
    </row>
    <row r="58" spans="2:7" ht="13.5" customHeight="1">
      <c r="B58" s="239">
        <f>B54</f>
        <v>4.26908778978331</v>
      </c>
      <c r="C58" s="240">
        <f>C54</f>
        <v>1</v>
      </c>
      <c r="D58" s="337" t="s">
        <v>313</v>
      </c>
      <c r="E58" s="241" t="s">
        <v>314</v>
      </c>
      <c r="F58" s="319" t="s">
        <v>315</v>
      </c>
      <c r="G58" s="242">
        <f>G54</f>
        <v>0.4912358706653427</v>
      </c>
    </row>
    <row r="59" spans="2:9" ht="13.5" customHeight="1">
      <c r="B59" s="239">
        <f>B55-E57*B54</f>
        <v>0</v>
      </c>
      <c r="C59" s="240">
        <f>C55-E57*C54</f>
        <v>4.537563010728644</v>
      </c>
      <c r="D59" s="337"/>
      <c r="E59" s="241" t="s">
        <v>316</v>
      </c>
      <c r="F59" s="319"/>
      <c r="G59" s="242">
        <f>G55-E57*G54</f>
        <v>0.24071446800453397</v>
      </c>
      <c r="H59" s="243"/>
      <c r="I59" s="245"/>
    </row>
    <row r="60" spans="2:3" ht="13.5" customHeight="1">
      <c r="B60" s="246"/>
      <c r="C60" s="246"/>
    </row>
    <row r="61" spans="2:9" ht="13.5" customHeight="1">
      <c r="B61" s="246"/>
      <c r="C61" s="246"/>
      <c r="E61" s="247" t="s">
        <v>316</v>
      </c>
      <c r="F61" s="248" t="s">
        <v>315</v>
      </c>
      <c r="G61" s="249">
        <f>G59/C59</f>
        <v>0.05304928381939536</v>
      </c>
      <c r="H61" s="243"/>
      <c r="I61" s="245"/>
    </row>
    <row r="62" spans="2:3" ht="13.5" customHeight="1">
      <c r="B62" s="246"/>
      <c r="C62" s="246"/>
    </row>
    <row r="63" spans="2:7" ht="13.5" customHeight="1">
      <c r="B63" s="239">
        <f>B58</f>
        <v>4.26908778978331</v>
      </c>
      <c r="C63" s="240">
        <f>C58</f>
        <v>1</v>
      </c>
      <c r="D63" s="250" t="s">
        <v>313</v>
      </c>
      <c r="E63" s="241" t="s">
        <v>314</v>
      </c>
      <c r="F63" s="251" t="s">
        <v>315</v>
      </c>
      <c r="G63" s="242">
        <f>G58</f>
        <v>0.4912358706653427</v>
      </c>
    </row>
    <row r="64" ht="13.5" customHeight="1">
      <c r="E64" s="241" t="s">
        <v>316</v>
      </c>
    </row>
    <row r="65" ht="13.5" customHeight="1"/>
    <row r="66" spans="5:9" ht="13.5" customHeight="1">
      <c r="E66" s="247" t="s">
        <v>314</v>
      </c>
      <c r="F66" s="248" t="s">
        <v>315</v>
      </c>
      <c r="G66" s="252">
        <f>(G63-C63*G61)/B63</f>
        <v>0.10264173716328959</v>
      </c>
      <c r="H66" s="243"/>
      <c r="I66" s="245"/>
    </row>
    <row r="67" ht="13.5" customHeight="1"/>
    <row r="68" spans="5:6" ht="13.5" customHeight="1">
      <c r="E68" s="253" t="s">
        <v>317</v>
      </c>
      <c r="F68" s="254">
        <f>G66</f>
        <v>0.10264173716328959</v>
      </c>
    </row>
    <row r="69" spans="5:6" ht="13.5" customHeight="1">
      <c r="E69" s="255" t="s">
        <v>318</v>
      </c>
      <c r="F69" s="256">
        <f>G61</f>
        <v>0.05304928381939536</v>
      </c>
    </row>
    <row r="71" spans="1:7" ht="16.5">
      <c r="A71" s="234" t="s">
        <v>319</v>
      </c>
      <c r="B71" s="235" t="s">
        <v>324</v>
      </c>
      <c r="C71" s="163" t="s">
        <v>325</v>
      </c>
      <c r="D71" s="235" t="s">
        <v>334</v>
      </c>
      <c r="E71" s="163" t="s">
        <v>335</v>
      </c>
      <c r="F71" s="235" t="s">
        <v>336</v>
      </c>
      <c r="G71" s="235" t="s">
        <v>337</v>
      </c>
    </row>
    <row r="72" spans="1:7" ht="13.5">
      <c r="A72" s="235">
        <v>2</v>
      </c>
      <c r="B72" s="236">
        <f>B47</f>
        <v>0.23424207916107484</v>
      </c>
      <c r="C72" s="236">
        <f>C47</f>
        <v>0.20956430138329704</v>
      </c>
      <c r="D72" s="257">
        <f>B72+F68</f>
        <v>0.3368838163243644</v>
      </c>
      <c r="E72" s="257">
        <f>C72+F69</f>
        <v>0.2626135852026924</v>
      </c>
      <c r="F72" s="260">
        <f>ABS(D72-B72)</f>
        <v>0.10264173716328959</v>
      </c>
      <c r="G72" s="260">
        <f>ABS(E72-C72)</f>
        <v>0.05304928381939536</v>
      </c>
    </row>
    <row r="74" ht="13.5">
      <c r="A74" s="3" t="s">
        <v>25</v>
      </c>
    </row>
    <row r="75" spans="1:9" ht="16.5">
      <c r="A75" s="234" t="s">
        <v>319</v>
      </c>
      <c r="B75" s="235" t="s">
        <v>338</v>
      </c>
      <c r="C75" s="163" t="s">
        <v>339</v>
      </c>
      <c r="D75" s="235" t="s">
        <v>326</v>
      </c>
      <c r="E75" s="235" t="s">
        <v>327</v>
      </c>
      <c r="F75" s="235" t="s">
        <v>328</v>
      </c>
      <c r="G75" s="235" t="s">
        <v>329</v>
      </c>
      <c r="H75" s="235" t="s">
        <v>330</v>
      </c>
      <c r="I75" s="235" t="s">
        <v>331</v>
      </c>
    </row>
    <row r="76" spans="1:9" ht="13.5">
      <c r="A76" s="235">
        <v>3</v>
      </c>
      <c r="B76" s="236">
        <f>D72</f>
        <v>0.3368838163243644</v>
      </c>
      <c r="C76" s="236">
        <f>E72</f>
        <v>0.2626135852026924</v>
      </c>
      <c r="D76" s="237">
        <f>1/B76</f>
        <v>2.9683824260562353</v>
      </c>
      <c r="E76" s="237">
        <v>1</v>
      </c>
      <c r="F76" s="237">
        <v>1</v>
      </c>
      <c r="G76" s="237">
        <f>1/C76</f>
        <v>3.8078761204534506</v>
      </c>
      <c r="H76" s="238">
        <f>LN(B76)+C76+0.7506</f>
        <v>-0.07480358155143096</v>
      </c>
      <c r="I76" s="238">
        <f>B76+LN(C76)+0.9727</f>
        <v>-0.02748776868207059</v>
      </c>
    </row>
    <row r="78" ht="13.5">
      <c r="B78" s="176" t="s">
        <v>332</v>
      </c>
    </row>
    <row r="79" ht="13.5">
      <c r="B79" s="176" t="s">
        <v>333</v>
      </c>
    </row>
    <row r="81" ht="13.5">
      <c r="A81" s="176" t="s">
        <v>6</v>
      </c>
    </row>
    <row r="83" spans="2:9" ht="13.5">
      <c r="B83" s="239">
        <f>D76</f>
        <v>2.9683824260562353</v>
      </c>
      <c r="C83" s="240">
        <f>E76</f>
        <v>1</v>
      </c>
      <c r="D83" s="337" t="s">
        <v>307</v>
      </c>
      <c r="E83" s="241" t="s">
        <v>308</v>
      </c>
      <c r="F83" s="319" t="s">
        <v>309</v>
      </c>
      <c r="G83" s="242">
        <f>-H76</f>
        <v>0.07480358155143096</v>
      </c>
      <c r="H83" s="243" t="s">
        <v>310</v>
      </c>
      <c r="I83" s="176" t="s">
        <v>15</v>
      </c>
    </row>
    <row r="84" spans="2:9" ht="13.5">
      <c r="B84" s="239">
        <f>F76</f>
        <v>1</v>
      </c>
      <c r="C84" s="240">
        <f>G76</f>
        <v>3.8078761204534506</v>
      </c>
      <c r="D84" s="337"/>
      <c r="E84" s="241" t="s">
        <v>311</v>
      </c>
      <c r="F84" s="319"/>
      <c r="G84" s="242">
        <f>-I76</f>
        <v>0.02748776868207059</v>
      </c>
      <c r="H84" s="243" t="s">
        <v>312</v>
      </c>
      <c r="I84" s="176" t="s">
        <v>16</v>
      </c>
    </row>
    <row r="85" spans="2:7" ht="13.5">
      <c r="B85" s="258"/>
      <c r="C85" s="258"/>
      <c r="D85" s="259"/>
      <c r="E85" s="251"/>
      <c r="F85" s="259"/>
      <c r="G85" s="243"/>
    </row>
    <row r="86" spans="1:5" ht="13.5">
      <c r="A86" s="176" t="s">
        <v>77</v>
      </c>
      <c r="E86" s="244">
        <f>B84/B83</f>
        <v>0.3368838163243644</v>
      </c>
    </row>
    <row r="87" spans="2:7" ht="13.5" customHeight="1">
      <c r="B87" s="239">
        <f>B83</f>
        <v>2.9683824260562353</v>
      </c>
      <c r="C87" s="240">
        <f>C83</f>
        <v>1</v>
      </c>
      <c r="D87" s="337" t="s">
        <v>313</v>
      </c>
      <c r="E87" s="241" t="s">
        <v>314</v>
      </c>
      <c r="F87" s="319" t="s">
        <v>315</v>
      </c>
      <c r="G87" s="242">
        <f>G83</f>
        <v>0.07480358155143096</v>
      </c>
    </row>
    <row r="88" spans="2:9" ht="13.5" customHeight="1">
      <c r="B88" s="239">
        <f>B84-E86*B83</f>
        <v>0</v>
      </c>
      <c r="C88" s="240">
        <f>C84-E86*C83</f>
        <v>3.470992304129086</v>
      </c>
      <c r="D88" s="337"/>
      <c r="E88" s="241" t="s">
        <v>316</v>
      </c>
      <c r="F88" s="319"/>
      <c r="G88" s="242">
        <f>G84-E86*G83</f>
        <v>0.002287652654293707</v>
      </c>
      <c r="H88" s="243"/>
      <c r="I88" s="245"/>
    </row>
    <row r="89" spans="2:3" ht="13.5" customHeight="1">
      <c r="B89" s="246"/>
      <c r="C89" s="246"/>
    </row>
    <row r="90" spans="2:9" ht="13.5" customHeight="1">
      <c r="B90" s="246"/>
      <c r="C90" s="246"/>
      <c r="E90" s="247" t="s">
        <v>316</v>
      </c>
      <c r="F90" s="248" t="s">
        <v>315</v>
      </c>
      <c r="G90" s="249">
        <f>G88/C88</f>
        <v>0.0006590774204749229</v>
      </c>
      <c r="H90" s="243"/>
      <c r="I90" s="245"/>
    </row>
    <row r="91" spans="2:3" ht="13.5" customHeight="1">
      <c r="B91" s="246"/>
      <c r="C91" s="246"/>
    </row>
    <row r="92" spans="2:7" ht="13.5" customHeight="1">
      <c r="B92" s="239">
        <f>B87</f>
        <v>2.9683824260562353</v>
      </c>
      <c r="C92" s="240">
        <f>C87</f>
        <v>1</v>
      </c>
      <c r="D92" s="250" t="s">
        <v>313</v>
      </c>
      <c r="E92" s="241" t="s">
        <v>314</v>
      </c>
      <c r="F92" s="251" t="s">
        <v>315</v>
      </c>
      <c r="G92" s="242">
        <f>G87</f>
        <v>0.07480358155143096</v>
      </c>
    </row>
    <row r="93" ht="13.5" customHeight="1">
      <c r="E93" s="241" t="s">
        <v>316</v>
      </c>
    </row>
    <row r="94" ht="13.5" customHeight="1"/>
    <row r="95" spans="5:9" ht="13.5" customHeight="1">
      <c r="E95" s="247" t="s">
        <v>314</v>
      </c>
      <c r="F95" s="248" t="s">
        <v>315</v>
      </c>
      <c r="G95" s="252">
        <f>(G92-C92*G90)/B92</f>
        <v>0.024978083511114073</v>
      </c>
      <c r="H95" s="243"/>
      <c r="I95" s="245"/>
    </row>
    <row r="96" ht="13.5" customHeight="1"/>
    <row r="97" spans="5:6" ht="13.5" customHeight="1">
      <c r="E97" s="253" t="s">
        <v>317</v>
      </c>
      <c r="F97" s="254">
        <f>G95</f>
        <v>0.024978083511114073</v>
      </c>
    </row>
    <row r="98" spans="5:6" ht="13.5" customHeight="1">
      <c r="E98" s="255" t="s">
        <v>318</v>
      </c>
      <c r="F98" s="256">
        <f>G90</f>
        <v>0.0006590774204749229</v>
      </c>
    </row>
    <row r="100" spans="1:7" ht="16.5">
      <c r="A100" s="234" t="s">
        <v>319</v>
      </c>
      <c r="B100" s="235" t="s">
        <v>338</v>
      </c>
      <c r="C100" s="163" t="s">
        <v>339</v>
      </c>
      <c r="D100" s="235" t="s">
        <v>340</v>
      </c>
      <c r="E100" s="163" t="s">
        <v>341</v>
      </c>
      <c r="F100" s="235" t="s">
        <v>336</v>
      </c>
      <c r="G100" s="235" t="s">
        <v>337</v>
      </c>
    </row>
    <row r="101" spans="1:7" ht="13.5">
      <c r="A101" s="235">
        <v>3</v>
      </c>
      <c r="B101" s="236">
        <f>B76</f>
        <v>0.3368838163243644</v>
      </c>
      <c r="C101" s="236">
        <f>C76</f>
        <v>0.2626135852026924</v>
      </c>
      <c r="D101" s="257">
        <f>B101+F97</f>
        <v>0.3618618998354785</v>
      </c>
      <c r="E101" s="257">
        <f>C101+F98</f>
        <v>0.26327266262316734</v>
      </c>
      <c r="F101" s="260">
        <f>ABS(D101-B101)</f>
        <v>0.02497808351111408</v>
      </c>
      <c r="G101" s="260">
        <f>ABS(E101-C101)</f>
        <v>0.0006590774204749406</v>
      </c>
    </row>
    <row r="103" ht="13.5">
      <c r="A103" s="3" t="s">
        <v>26</v>
      </c>
    </row>
    <row r="104" spans="1:9" ht="16.5">
      <c r="A104" s="234" t="s">
        <v>319</v>
      </c>
      <c r="B104" s="235" t="s">
        <v>342</v>
      </c>
      <c r="C104" s="163" t="s">
        <v>343</v>
      </c>
      <c r="D104" s="235" t="s">
        <v>326</v>
      </c>
      <c r="E104" s="235" t="s">
        <v>327</v>
      </c>
      <c r="F104" s="235" t="s">
        <v>328</v>
      </c>
      <c r="G104" s="235" t="s">
        <v>329</v>
      </c>
      <c r="H104" s="235" t="s">
        <v>330</v>
      </c>
      <c r="I104" s="235" t="s">
        <v>331</v>
      </c>
    </row>
    <row r="105" spans="1:9" ht="13.5">
      <c r="A105" s="235">
        <v>4</v>
      </c>
      <c r="B105" s="236">
        <f>D101</f>
        <v>0.3618618998354785</v>
      </c>
      <c r="C105" s="236">
        <f>E101</f>
        <v>0.26327266262316734</v>
      </c>
      <c r="D105" s="237">
        <f>1/B105</f>
        <v>2.763485187179564</v>
      </c>
      <c r="E105" s="237">
        <v>1</v>
      </c>
      <c r="F105" s="237">
        <v>1</v>
      </c>
      <c r="G105" s="237">
        <f>1/C105</f>
        <v>3.798343474162146</v>
      </c>
      <c r="H105" s="238">
        <f>LN(B105)+C105+0.7506</f>
        <v>-0.002619969487034024</v>
      </c>
      <c r="I105" s="238">
        <f>B105+LN(C105)+0.9727</f>
        <v>-3.144000625954213E-06</v>
      </c>
    </row>
    <row r="107" ht="13.5">
      <c r="B107" s="176" t="s">
        <v>332</v>
      </c>
    </row>
    <row r="108" ht="13.5">
      <c r="B108" s="176" t="s">
        <v>333</v>
      </c>
    </row>
    <row r="110" ht="13.5">
      <c r="A110" s="176" t="s">
        <v>6</v>
      </c>
    </row>
    <row r="112" spans="2:9" ht="13.5">
      <c r="B112" s="239">
        <f>D105</f>
        <v>2.763485187179564</v>
      </c>
      <c r="C112" s="240">
        <f>E105</f>
        <v>1</v>
      </c>
      <c r="D112" s="337" t="s">
        <v>307</v>
      </c>
      <c r="E112" s="241" t="s">
        <v>308</v>
      </c>
      <c r="F112" s="319" t="s">
        <v>309</v>
      </c>
      <c r="G112" s="242">
        <f>-H105</f>
        <v>0.002619969487034024</v>
      </c>
      <c r="H112" s="243" t="s">
        <v>310</v>
      </c>
      <c r="I112" s="176" t="s">
        <v>15</v>
      </c>
    </row>
    <row r="113" spans="2:9" ht="13.5">
      <c r="B113" s="239">
        <f>F105</f>
        <v>1</v>
      </c>
      <c r="C113" s="240">
        <f>G105</f>
        <v>3.798343474162146</v>
      </c>
      <c r="D113" s="337"/>
      <c r="E113" s="241" t="s">
        <v>311</v>
      </c>
      <c r="F113" s="319"/>
      <c r="G113" s="242">
        <f>-I105</f>
        <v>3.144000625954213E-06</v>
      </c>
      <c r="H113" s="243" t="s">
        <v>312</v>
      </c>
      <c r="I113" s="176" t="s">
        <v>16</v>
      </c>
    </row>
    <row r="114" spans="2:7" ht="13.5">
      <c r="B114" s="258"/>
      <c r="C114" s="258"/>
      <c r="D114" s="259"/>
      <c r="E114" s="251"/>
      <c r="F114" s="259"/>
      <c r="G114" s="243"/>
    </row>
    <row r="115" spans="1:5" ht="13.5">
      <c r="A115" s="176" t="s">
        <v>77</v>
      </c>
      <c r="E115" s="244">
        <f>B113/B112</f>
        <v>0.3618618998354785</v>
      </c>
    </row>
    <row r="116" spans="2:7" ht="13.5" customHeight="1">
      <c r="B116" s="239">
        <f>B112</f>
        <v>2.763485187179564</v>
      </c>
      <c r="C116" s="240">
        <f>C112</f>
        <v>1</v>
      </c>
      <c r="D116" s="337" t="s">
        <v>313</v>
      </c>
      <c r="E116" s="241" t="s">
        <v>314</v>
      </c>
      <c r="F116" s="319" t="s">
        <v>315</v>
      </c>
      <c r="G116" s="242">
        <f>G112</f>
        <v>0.002619969487034024</v>
      </c>
    </row>
    <row r="117" spans="2:9" ht="13.5" customHeight="1">
      <c r="B117" s="239">
        <f>B113-E115*B112</f>
        <v>0</v>
      </c>
      <c r="C117" s="240">
        <f>C113-E115*C112</f>
        <v>3.4364815743266677</v>
      </c>
      <c r="D117" s="337"/>
      <c r="E117" s="241" t="s">
        <v>316</v>
      </c>
      <c r="F117" s="319"/>
      <c r="G117" s="242">
        <f>G113-E115*G112</f>
        <v>-0.0009449231354631618</v>
      </c>
      <c r="H117" s="243"/>
      <c r="I117" s="245"/>
    </row>
    <row r="118" spans="2:3" ht="13.5" customHeight="1">
      <c r="B118" s="246"/>
      <c r="C118" s="246"/>
    </row>
    <row r="119" spans="2:9" ht="13.5" customHeight="1">
      <c r="B119" s="246"/>
      <c r="C119" s="246"/>
      <c r="E119" s="247" t="s">
        <v>316</v>
      </c>
      <c r="F119" s="248" t="s">
        <v>315</v>
      </c>
      <c r="G119" s="249">
        <f>G117/C117</f>
        <v>-0.00027496819494756254</v>
      </c>
      <c r="H119" s="243"/>
      <c r="I119" s="245"/>
    </row>
    <row r="120" spans="2:3" ht="13.5" customHeight="1">
      <c r="B120" s="246"/>
      <c r="C120" s="246"/>
    </row>
    <row r="121" spans="2:7" ht="13.5" customHeight="1">
      <c r="B121" s="239">
        <f>B116</f>
        <v>2.763485187179564</v>
      </c>
      <c r="C121" s="240">
        <f>C116</f>
        <v>1</v>
      </c>
      <c r="D121" s="250" t="s">
        <v>313</v>
      </c>
      <c r="E121" s="241" t="s">
        <v>314</v>
      </c>
      <c r="F121" s="251" t="s">
        <v>315</v>
      </c>
      <c r="G121" s="242">
        <f>G116</f>
        <v>0.002619969487034024</v>
      </c>
    </row>
    <row r="122" ht="13.5" customHeight="1">
      <c r="E122" s="241" t="s">
        <v>316</v>
      </c>
    </row>
    <row r="123" ht="13.5" customHeight="1"/>
    <row r="124" spans="5:9" ht="13.5" customHeight="1">
      <c r="E124" s="247" t="s">
        <v>314</v>
      </c>
      <c r="F124" s="248" t="s">
        <v>315</v>
      </c>
      <c r="G124" s="252">
        <f>(G121-C121*G119)/B121</f>
        <v>0.0010475676495071732</v>
      </c>
      <c r="H124" s="243"/>
      <c r="I124" s="245"/>
    </row>
    <row r="125" ht="13.5" customHeight="1"/>
    <row r="126" spans="5:6" ht="13.5" customHeight="1">
      <c r="E126" s="253" t="s">
        <v>317</v>
      </c>
      <c r="F126" s="254">
        <f>G124</f>
        <v>0.0010475676495071732</v>
      </c>
    </row>
    <row r="127" spans="5:6" ht="13.5" customHeight="1">
      <c r="E127" s="255" t="s">
        <v>318</v>
      </c>
      <c r="F127" s="256">
        <f>G119</f>
        <v>-0.00027496819494756254</v>
      </c>
    </row>
    <row r="129" spans="1:7" ht="16.5">
      <c r="A129" s="234" t="s">
        <v>319</v>
      </c>
      <c r="B129" s="235" t="s">
        <v>342</v>
      </c>
      <c r="C129" s="163" t="s">
        <v>343</v>
      </c>
      <c r="D129" s="235" t="s">
        <v>344</v>
      </c>
      <c r="E129" s="163" t="s">
        <v>345</v>
      </c>
      <c r="F129" s="235" t="s">
        <v>336</v>
      </c>
      <c r="G129" s="235" t="s">
        <v>337</v>
      </c>
    </row>
    <row r="130" spans="1:7" ht="13.5">
      <c r="A130" s="235">
        <v>4</v>
      </c>
      <c r="B130" s="236">
        <f>B105</f>
        <v>0.3618618998354785</v>
      </c>
      <c r="C130" s="236">
        <f>C105</f>
        <v>0.26327266262316734</v>
      </c>
      <c r="D130" s="257">
        <f>B130+F126</f>
        <v>0.3629094674849857</v>
      </c>
      <c r="E130" s="257">
        <f>C130+F127</f>
        <v>0.2629976944282198</v>
      </c>
      <c r="F130" s="260">
        <f>ABS(D130-B130)</f>
        <v>0.0010475676495071973</v>
      </c>
      <c r="G130" s="260">
        <f>ABS(E130-C130)</f>
        <v>0.00027496819494754465</v>
      </c>
    </row>
    <row r="132" ht="13.5">
      <c r="A132" s="3" t="s">
        <v>27</v>
      </c>
    </row>
    <row r="133" spans="1:9" ht="16.5">
      <c r="A133" s="234" t="s">
        <v>319</v>
      </c>
      <c r="B133" s="235" t="s">
        <v>346</v>
      </c>
      <c r="C133" s="163" t="s">
        <v>347</v>
      </c>
      <c r="D133" s="235" t="s">
        <v>326</v>
      </c>
      <c r="E133" s="235" t="s">
        <v>327</v>
      </c>
      <c r="F133" s="235" t="s">
        <v>328</v>
      </c>
      <c r="G133" s="235" t="s">
        <v>329</v>
      </c>
      <c r="H133" s="235" t="s">
        <v>330</v>
      </c>
      <c r="I133" s="235" t="s">
        <v>331</v>
      </c>
    </row>
    <row r="134" spans="1:9" ht="13.5">
      <c r="A134" s="235">
        <v>5</v>
      </c>
      <c r="B134" s="236">
        <f>D130</f>
        <v>0.3629094674849857</v>
      </c>
      <c r="C134" s="236">
        <f>E130</f>
        <v>0.2629976944282198</v>
      </c>
      <c r="D134" s="237">
        <f>1/B134</f>
        <v>2.7555081627661644</v>
      </c>
      <c r="E134" s="237">
        <v>1</v>
      </c>
      <c r="F134" s="237">
        <v>1</v>
      </c>
      <c r="G134" s="237">
        <f>1/C134</f>
        <v>3.8023147015569405</v>
      </c>
      <c r="H134" s="238">
        <f>LN(B134)+C134+0.7506</f>
        <v>-4.182262442919971E-06</v>
      </c>
      <c r="I134" s="238">
        <f>B134+LN(C134)+0.9727</f>
        <v>-5.457904365124833E-07</v>
      </c>
    </row>
    <row r="136" ht="13.5">
      <c r="B136" s="176" t="s">
        <v>332</v>
      </c>
    </row>
    <row r="137" ht="13.5">
      <c r="B137" s="176" t="s">
        <v>333</v>
      </c>
    </row>
    <row r="139" ht="13.5">
      <c r="A139" s="176" t="s">
        <v>6</v>
      </c>
    </row>
    <row r="141" spans="2:9" ht="13.5">
      <c r="B141" s="239">
        <f>D134</f>
        <v>2.7555081627661644</v>
      </c>
      <c r="C141" s="240">
        <f>E134</f>
        <v>1</v>
      </c>
      <c r="D141" s="337" t="s">
        <v>307</v>
      </c>
      <c r="E141" s="241" t="s">
        <v>308</v>
      </c>
      <c r="F141" s="319" t="s">
        <v>309</v>
      </c>
      <c r="G141" s="242">
        <f>-H134</f>
        <v>4.182262442919971E-06</v>
      </c>
      <c r="H141" s="243" t="s">
        <v>310</v>
      </c>
      <c r="I141" s="176" t="s">
        <v>15</v>
      </c>
    </row>
    <row r="142" spans="2:9" ht="13.5">
      <c r="B142" s="239">
        <f>F134</f>
        <v>1</v>
      </c>
      <c r="C142" s="240">
        <f>G134</f>
        <v>3.8023147015569405</v>
      </c>
      <c r="D142" s="337"/>
      <c r="E142" s="241" t="s">
        <v>311</v>
      </c>
      <c r="F142" s="319"/>
      <c r="G142" s="242">
        <f>-I134</f>
        <v>5.457904365124833E-07</v>
      </c>
      <c r="H142" s="243" t="s">
        <v>312</v>
      </c>
      <c r="I142" s="176" t="s">
        <v>16</v>
      </c>
    </row>
    <row r="143" spans="2:7" ht="13.5">
      <c r="B143" s="258"/>
      <c r="C143" s="258"/>
      <c r="D143" s="259"/>
      <c r="E143" s="251"/>
      <c r="F143" s="259"/>
      <c r="G143" s="243"/>
    </row>
    <row r="144" spans="1:5" ht="13.5">
      <c r="A144" s="176" t="s">
        <v>77</v>
      </c>
      <c r="E144" s="244">
        <f>B142/B141</f>
        <v>0.3629094674849857</v>
      </c>
    </row>
    <row r="145" spans="2:7" ht="13.5" customHeight="1">
      <c r="B145" s="239">
        <f>B141</f>
        <v>2.7555081627661644</v>
      </c>
      <c r="C145" s="240">
        <f>C141</f>
        <v>1</v>
      </c>
      <c r="D145" s="337" t="s">
        <v>313</v>
      </c>
      <c r="E145" s="241" t="s">
        <v>314</v>
      </c>
      <c r="F145" s="319" t="s">
        <v>315</v>
      </c>
      <c r="G145" s="242">
        <f>G141</f>
        <v>4.182262442919971E-06</v>
      </c>
    </row>
    <row r="146" spans="2:9" ht="13.5" customHeight="1">
      <c r="B146" s="239">
        <f>B142-E144*B141</f>
        <v>0</v>
      </c>
      <c r="C146" s="240">
        <f>C142-E144*C141</f>
        <v>3.439405234071955</v>
      </c>
      <c r="D146" s="337"/>
      <c r="E146" s="241" t="s">
        <v>316</v>
      </c>
      <c r="F146" s="319"/>
      <c r="G146" s="242">
        <f>G142-E144*G141</f>
        <v>-9.719921995300588E-07</v>
      </c>
      <c r="H146" s="243"/>
      <c r="I146" s="245"/>
    </row>
    <row r="147" spans="2:3" ht="13.5" customHeight="1">
      <c r="B147" s="246"/>
      <c r="C147" s="246"/>
    </row>
    <row r="148" spans="2:9" ht="13.5" customHeight="1">
      <c r="B148" s="246"/>
      <c r="C148" s="246"/>
      <c r="E148" s="247" t="s">
        <v>316</v>
      </c>
      <c r="F148" s="248" t="s">
        <v>315</v>
      </c>
      <c r="G148" s="249">
        <f>G146/C146</f>
        <v>-2.8260473348739575E-07</v>
      </c>
      <c r="H148" s="243"/>
      <c r="I148" s="245"/>
    </row>
    <row r="149" spans="2:3" ht="13.5" customHeight="1">
      <c r="B149" s="246"/>
      <c r="C149" s="246"/>
    </row>
    <row r="150" spans="2:7" ht="13.5" customHeight="1">
      <c r="B150" s="239">
        <f>B145</f>
        <v>2.7555081627661644</v>
      </c>
      <c r="C150" s="240">
        <f>C145</f>
        <v>1</v>
      </c>
      <c r="D150" s="250" t="s">
        <v>313</v>
      </c>
      <c r="E150" s="241" t="s">
        <v>314</v>
      </c>
      <c r="F150" s="251" t="s">
        <v>315</v>
      </c>
      <c r="G150" s="242">
        <f>G145</f>
        <v>4.182262442919971E-06</v>
      </c>
    </row>
    <row r="151" ht="13.5" customHeight="1">
      <c r="E151" s="241" t="s">
        <v>316</v>
      </c>
    </row>
    <row r="152" ht="13.5" customHeight="1"/>
    <row r="153" spans="5:9" ht="13.5" customHeight="1">
      <c r="E153" s="247" t="s">
        <v>314</v>
      </c>
      <c r="F153" s="248" t="s">
        <v>315</v>
      </c>
      <c r="G153" s="252">
        <f>(G150-C150*G148)/B150</f>
        <v>1.620342569381189E-06</v>
      </c>
      <c r="H153" s="243"/>
      <c r="I153" s="245"/>
    </row>
    <row r="154" ht="13.5" customHeight="1"/>
    <row r="155" spans="5:6" ht="13.5" customHeight="1">
      <c r="E155" s="253" t="s">
        <v>317</v>
      </c>
      <c r="F155" s="254">
        <f>G153</f>
        <v>1.620342569381189E-06</v>
      </c>
    </row>
    <row r="156" spans="5:6" ht="13.5" customHeight="1">
      <c r="E156" s="255" t="s">
        <v>318</v>
      </c>
      <c r="F156" s="256">
        <f>G148</f>
        <v>-2.8260473348739575E-07</v>
      </c>
    </row>
    <row r="158" spans="1:7" ht="16.5">
      <c r="A158" s="234" t="s">
        <v>319</v>
      </c>
      <c r="B158" s="235" t="s">
        <v>346</v>
      </c>
      <c r="C158" s="163" t="s">
        <v>347</v>
      </c>
      <c r="D158" s="235" t="s">
        <v>348</v>
      </c>
      <c r="E158" s="163" t="s">
        <v>349</v>
      </c>
      <c r="F158" s="235" t="s">
        <v>336</v>
      </c>
      <c r="G158" s="235" t="s">
        <v>337</v>
      </c>
    </row>
    <row r="159" spans="1:7" ht="13.5">
      <c r="A159" s="235">
        <v>5</v>
      </c>
      <c r="B159" s="236">
        <f>B134</f>
        <v>0.3629094674849857</v>
      </c>
      <c r="C159" s="236">
        <f>C134</f>
        <v>0.2629976944282198</v>
      </c>
      <c r="D159" s="257">
        <f>B159+F155</f>
        <v>0.3629110878275551</v>
      </c>
      <c r="E159" s="257">
        <f>C159+F156</f>
        <v>0.2629974118234863</v>
      </c>
      <c r="F159" s="260">
        <f>ABS(D159-B159)</f>
        <v>1.6203425693972484E-06</v>
      </c>
      <c r="G159" s="260">
        <f>ABS(E159-C159)</f>
        <v>2.826047335036108E-07</v>
      </c>
    </row>
    <row r="160" spans="4:7" ht="13.5">
      <c r="D160" s="338" t="s">
        <v>350</v>
      </c>
      <c r="E160" s="338"/>
      <c r="F160" s="338" t="s">
        <v>350</v>
      </c>
      <c r="G160" s="338"/>
    </row>
    <row r="161" spans="4:7" s="261" customFormat="1" ht="30.75" customHeight="1">
      <c r="D161" s="339" t="s">
        <v>351</v>
      </c>
      <c r="E161" s="339"/>
      <c r="F161" s="340" t="s">
        <v>352</v>
      </c>
      <c r="G161" s="340"/>
    </row>
  </sheetData>
  <mergeCells count="24">
    <mergeCell ref="D160:E160"/>
    <mergeCell ref="F160:G160"/>
    <mergeCell ref="D161:E161"/>
    <mergeCell ref="F161:G161"/>
    <mergeCell ref="D25:D26"/>
    <mergeCell ref="F25:F26"/>
    <mergeCell ref="D29:D30"/>
    <mergeCell ref="F29:F30"/>
    <mergeCell ref="D54:D55"/>
    <mergeCell ref="F54:F55"/>
    <mergeCell ref="D58:D59"/>
    <mergeCell ref="F58:F59"/>
    <mergeCell ref="D83:D84"/>
    <mergeCell ref="F83:F84"/>
    <mergeCell ref="D87:D88"/>
    <mergeCell ref="F87:F88"/>
    <mergeCell ref="D112:D113"/>
    <mergeCell ref="F112:F113"/>
    <mergeCell ref="D116:D117"/>
    <mergeCell ref="F116:F117"/>
    <mergeCell ref="D141:D142"/>
    <mergeCell ref="F141:F142"/>
    <mergeCell ref="D145:D146"/>
    <mergeCell ref="F145:F146"/>
  </mergeCells>
  <printOptions/>
  <pageMargins left="0.75" right="0.75" top="1" bottom="1" header="0.512" footer="0.512"/>
  <pageSetup horizontalDpi="600" verticalDpi="600" orientation="portrait" paperSize="9" r:id="rId8"/>
  <legacyDrawing r:id="rId7"/>
  <oleObjects>
    <oleObject progId="Equation.3" shapeId="971671" r:id="rId1"/>
    <oleObject progId="Equation.3" shapeId="971672" r:id="rId2"/>
    <oleObject progId="Equation.3" shapeId="971673" r:id="rId3"/>
    <oleObject progId="Equation.3" shapeId="971674" r:id="rId4"/>
    <oleObject progId="Equation.3" shapeId="971675" r:id="rId5"/>
    <oleObject progId="Equation.3" shapeId="971676" r:id="rId6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1" sqref="D1"/>
    </sheetView>
  </sheetViews>
  <sheetFormatPr defaultColWidth="9.00390625" defaultRowHeight="13.5"/>
  <cols>
    <col min="1" max="3" width="9.00390625" style="176" customWidth="1"/>
    <col min="4" max="4" width="10.75390625" style="176" customWidth="1"/>
    <col min="5" max="6" width="9.00390625" style="176" customWidth="1"/>
    <col min="7" max="7" width="13.75390625" style="176" customWidth="1"/>
    <col min="8" max="16384" width="9.00390625" style="176" customWidth="1"/>
  </cols>
  <sheetData>
    <row r="1" ht="17.25">
      <c r="A1" s="135" t="s">
        <v>67</v>
      </c>
    </row>
    <row r="2" ht="13.5"/>
    <row r="3" spans="1:11" ht="13.5">
      <c r="A3" s="177"/>
      <c r="B3" s="177"/>
      <c r="C3" s="177"/>
      <c r="D3" s="177"/>
      <c r="G3" s="262" t="s">
        <v>353</v>
      </c>
      <c r="H3" s="263">
        <v>0.05</v>
      </c>
      <c r="I3" s="264" t="s">
        <v>134</v>
      </c>
      <c r="J3" s="265">
        <f>H3*2</f>
        <v>0.1</v>
      </c>
      <c r="K3" s="176" t="s">
        <v>135</v>
      </c>
    </row>
    <row r="4" spans="4:7" s="177" customFormat="1" ht="13.5">
      <c r="D4" s="266"/>
      <c r="F4" s="266"/>
      <c r="G4" s="267"/>
    </row>
    <row r="5" spans="4:7" s="177" customFormat="1" ht="13.5">
      <c r="D5" s="266"/>
      <c r="F5" s="266"/>
      <c r="G5" s="267"/>
    </row>
    <row r="6" spans="4:7" s="177" customFormat="1" ht="13.5">
      <c r="D6" s="266"/>
      <c r="F6" s="266"/>
      <c r="G6" s="267"/>
    </row>
    <row r="7" spans="4:7" s="177" customFormat="1" ht="13.5">
      <c r="D7" s="266"/>
      <c r="F7" s="266"/>
      <c r="G7" s="267"/>
    </row>
    <row r="8" spans="4:7" s="177" customFormat="1" ht="13.5">
      <c r="D8" s="266"/>
      <c r="F8" s="266"/>
      <c r="G8" s="267"/>
    </row>
    <row r="10" spans="1:8" ht="16.5">
      <c r="A10" s="235" t="s">
        <v>354</v>
      </c>
      <c r="B10" s="235" t="s">
        <v>355</v>
      </c>
      <c r="C10" s="235" t="s">
        <v>356</v>
      </c>
      <c r="D10" s="235" t="s">
        <v>357</v>
      </c>
      <c r="E10" s="235" t="s">
        <v>358</v>
      </c>
      <c r="F10" s="235" t="s">
        <v>359</v>
      </c>
      <c r="G10" s="235" t="s">
        <v>360</v>
      </c>
      <c r="H10" s="235" t="s">
        <v>361</v>
      </c>
    </row>
    <row r="11" spans="1:8" ht="13.5">
      <c r="A11" s="268">
        <v>1</v>
      </c>
      <c r="B11" s="269">
        <v>0</v>
      </c>
      <c r="C11" s="269">
        <f aca="true" t="shared" si="0" ref="C11:C20">B11+$J$3</f>
        <v>0.1</v>
      </c>
      <c r="D11" s="269">
        <f>(B11+C11)/2</f>
        <v>0.05</v>
      </c>
      <c r="E11" s="270">
        <f>EXP(-B11)+3*SIN(3.14156*B11/3)</f>
        <v>1</v>
      </c>
      <c r="F11" s="270">
        <f>EXP(-C11)+3*SIN(3.14156*C11/3)</f>
        <v>1.218419560367733</v>
      </c>
      <c r="G11" s="270">
        <f>EXP(-D11)+3*SIN(3.14156*D11/3)</f>
        <v>1.1082356627875631</v>
      </c>
      <c r="H11" s="270">
        <f aca="true" t="shared" si="1" ref="H11:H20">($H$3/3)*(E11+4*G11+F11)</f>
        <v>0.1108560368586331</v>
      </c>
    </row>
    <row r="12" spans="1:8" ht="13.5">
      <c r="A12" s="268">
        <v>2</v>
      </c>
      <c r="B12" s="269">
        <f>C11</f>
        <v>0.1</v>
      </c>
      <c r="C12" s="269">
        <f t="shared" si="0"/>
        <v>0.2</v>
      </c>
      <c r="D12" s="269">
        <f aca="true" t="shared" si="2" ref="D12:D20">(B12+C12)/2</f>
        <v>0.15000000000000002</v>
      </c>
      <c r="E12" s="270">
        <f aca="true" t="shared" si="3" ref="E12:G20">EXP(-B12)+3*SIN(3.14156*B12/3)</f>
        <v>1.218419560367733</v>
      </c>
      <c r="F12" s="270">
        <f t="shared" si="3"/>
        <v>1.4424594375236797</v>
      </c>
      <c r="G12" s="270">
        <f t="shared" si="3"/>
        <v>1.3300065338096374</v>
      </c>
      <c r="H12" s="270">
        <f t="shared" si="1"/>
        <v>0.13301508555216604</v>
      </c>
    </row>
    <row r="13" spans="1:8" ht="13.5">
      <c r="A13" s="268">
        <v>3</v>
      </c>
      <c r="B13" s="269">
        <f aca="true" t="shared" si="4" ref="B13:B20">C12</f>
        <v>0.2</v>
      </c>
      <c r="C13" s="269">
        <f t="shared" si="0"/>
        <v>0.30000000000000004</v>
      </c>
      <c r="D13" s="269">
        <f t="shared" si="2"/>
        <v>0.25</v>
      </c>
      <c r="E13" s="270">
        <f t="shared" si="3"/>
        <v>1.4424594375236797</v>
      </c>
      <c r="F13" s="270">
        <f t="shared" si="3"/>
        <v>1.667859887178812</v>
      </c>
      <c r="G13" s="270">
        <f t="shared" si="3"/>
        <v>1.555250033139667</v>
      </c>
      <c r="H13" s="270">
        <f t="shared" si="1"/>
        <v>0.15552199095435265</v>
      </c>
    </row>
    <row r="14" spans="1:8" ht="13.5">
      <c r="A14" s="268">
        <v>4</v>
      </c>
      <c r="B14" s="269">
        <f t="shared" si="4"/>
        <v>0.30000000000000004</v>
      </c>
      <c r="C14" s="269">
        <f t="shared" si="0"/>
        <v>0.4</v>
      </c>
      <c r="D14" s="269">
        <f t="shared" si="2"/>
        <v>0.35000000000000003</v>
      </c>
      <c r="E14" s="270">
        <f t="shared" si="3"/>
        <v>1.667859887178812</v>
      </c>
      <c r="F14" s="270">
        <f t="shared" si="3"/>
        <v>1.8905180430360227</v>
      </c>
      <c r="G14" s="270">
        <f t="shared" si="3"/>
        <v>1.779781268683513</v>
      </c>
      <c r="H14" s="270">
        <f t="shared" si="1"/>
        <v>0.1779583834158148</v>
      </c>
    </row>
    <row r="15" spans="1:8" ht="13.5">
      <c r="A15" s="268">
        <v>5</v>
      </c>
      <c r="B15" s="269">
        <f t="shared" si="4"/>
        <v>0.4</v>
      </c>
      <c r="C15" s="269">
        <f t="shared" si="0"/>
        <v>0.5</v>
      </c>
      <c r="D15" s="269">
        <f t="shared" si="2"/>
        <v>0.45</v>
      </c>
      <c r="E15" s="270">
        <f t="shared" si="3"/>
        <v>1.8905180430360227</v>
      </c>
      <c r="F15" s="270">
        <f t="shared" si="3"/>
        <v>2.106516520271277</v>
      </c>
      <c r="G15" s="270">
        <f t="shared" si="3"/>
        <v>1.9995865582713814</v>
      </c>
      <c r="H15" s="270">
        <f t="shared" si="1"/>
        <v>0.19992301327321377</v>
      </c>
    </row>
    <row r="16" spans="1:8" ht="13.5">
      <c r="A16" s="268">
        <v>6</v>
      </c>
      <c r="B16" s="269">
        <f t="shared" si="4"/>
        <v>0.5</v>
      </c>
      <c r="C16" s="269">
        <f t="shared" si="0"/>
        <v>0.6</v>
      </c>
      <c r="D16" s="269">
        <f t="shared" si="2"/>
        <v>0.55</v>
      </c>
      <c r="E16" s="270">
        <f t="shared" si="3"/>
        <v>2.106516520271277</v>
      </c>
      <c r="F16" s="270">
        <f t="shared" si="3"/>
        <v>2.3121515425484</v>
      </c>
      <c r="G16" s="270">
        <f t="shared" si="3"/>
        <v>2.2108518533137063</v>
      </c>
      <c r="H16" s="270">
        <f t="shared" si="1"/>
        <v>0.22103459126790834</v>
      </c>
    </row>
    <row r="17" spans="1:8" ht="13.5">
      <c r="A17" s="268">
        <v>7</v>
      </c>
      <c r="B17" s="269">
        <f t="shared" si="4"/>
        <v>0.6</v>
      </c>
      <c r="C17" s="269">
        <f t="shared" si="0"/>
        <v>0.7</v>
      </c>
      <c r="D17" s="269">
        <f t="shared" si="2"/>
        <v>0.6499999999999999</v>
      </c>
      <c r="E17" s="270">
        <f t="shared" si="3"/>
        <v>2.3121515425484</v>
      </c>
      <c r="F17" s="270">
        <f t="shared" si="3"/>
        <v>2.503960136367316</v>
      </c>
      <c r="G17" s="270">
        <f t="shared" si="3"/>
        <v>2.409990455069745</v>
      </c>
      <c r="H17" s="270">
        <f t="shared" si="1"/>
        <v>0.24093455831991156</v>
      </c>
    </row>
    <row r="18" spans="1:8" ht="13.5">
      <c r="A18" s="268">
        <v>8</v>
      </c>
      <c r="B18" s="269">
        <f t="shared" si="4"/>
        <v>0.7</v>
      </c>
      <c r="C18" s="269">
        <f t="shared" si="0"/>
        <v>0.7999999999999999</v>
      </c>
      <c r="D18" s="269">
        <f t="shared" si="2"/>
        <v>0.75</v>
      </c>
      <c r="E18" s="270">
        <f t="shared" si="3"/>
        <v>2.503960136367316</v>
      </c>
      <c r="F18" s="270">
        <f t="shared" si="3"/>
        <v>2.6787459608518134</v>
      </c>
      <c r="G18" s="270">
        <f t="shared" si="3"/>
        <v>2.5936695790488944</v>
      </c>
      <c r="H18" s="270">
        <f t="shared" si="1"/>
        <v>0.2592897402235784</v>
      </c>
    </row>
    <row r="19" spans="1:8" ht="13.5">
      <c r="A19" s="268">
        <v>9</v>
      </c>
      <c r="B19" s="269">
        <f t="shared" si="4"/>
        <v>0.7999999999999999</v>
      </c>
      <c r="C19" s="269">
        <f t="shared" si="0"/>
        <v>0.8999999999999999</v>
      </c>
      <c r="D19" s="269">
        <f t="shared" si="2"/>
        <v>0.8499999999999999</v>
      </c>
      <c r="E19" s="270">
        <f t="shared" si="3"/>
        <v>2.6787459608518134</v>
      </c>
      <c r="F19" s="270">
        <f t="shared" si="3"/>
        <v>2.8336033687803246</v>
      </c>
      <c r="G19" s="270">
        <f t="shared" si="3"/>
        <v>2.7588353490854445</v>
      </c>
      <c r="H19" s="270">
        <f t="shared" si="1"/>
        <v>0.27579484543289856</v>
      </c>
    </row>
    <row r="20" spans="1:8" ht="13.5">
      <c r="A20" s="268">
        <v>10</v>
      </c>
      <c r="B20" s="269">
        <f t="shared" si="4"/>
        <v>0.8999999999999999</v>
      </c>
      <c r="C20" s="269">
        <f t="shared" si="0"/>
        <v>0.9999999999999999</v>
      </c>
      <c r="D20" s="269">
        <f t="shared" si="2"/>
        <v>0.95</v>
      </c>
      <c r="E20" s="270">
        <f t="shared" si="3"/>
        <v>2.8336033687803246</v>
      </c>
      <c r="F20" s="270">
        <f t="shared" si="3"/>
        <v>2.965939325575961</v>
      </c>
      <c r="G20" s="270">
        <f t="shared" si="3"/>
        <v>2.902735831957612</v>
      </c>
      <c r="H20" s="270">
        <f t="shared" si="1"/>
        <v>0.2901747670364455</v>
      </c>
    </row>
    <row r="21" ht="13.5">
      <c r="H21" s="271">
        <f>SUM(H11:H20)</f>
        <v>2.064503012334923</v>
      </c>
    </row>
    <row r="22" ht="13.5">
      <c r="H22" s="250" t="s">
        <v>362</v>
      </c>
    </row>
    <row r="23" ht="13.5">
      <c r="H23" s="250" t="s">
        <v>81</v>
      </c>
    </row>
  </sheetData>
  <printOptions/>
  <pageMargins left="0.75" right="0.75" top="1" bottom="1" header="0.512" footer="0.512"/>
  <pageSetup horizontalDpi="600" verticalDpi="600" orientation="landscape" paperSize="9" r:id="rId4"/>
  <legacyDrawing r:id="rId3"/>
  <oleObjects>
    <oleObject progId="Equation.3" shapeId="973209" r:id="rId1"/>
    <oleObject progId="Equation.3" shapeId="973210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C1" sqref="C1"/>
    </sheetView>
  </sheetViews>
  <sheetFormatPr defaultColWidth="9.00390625" defaultRowHeight="13.5"/>
  <cols>
    <col min="1" max="6" width="13.625" style="176" customWidth="1"/>
    <col min="7" max="16384" width="9.00390625" style="176" customWidth="1"/>
  </cols>
  <sheetData>
    <row r="1" ht="17.25">
      <c r="A1" s="135" t="s">
        <v>33</v>
      </c>
    </row>
    <row r="2" ht="13.5">
      <c r="A2" s="1"/>
    </row>
    <row r="3" spans="1:4" ht="13.5">
      <c r="A3" s="3" t="s">
        <v>36</v>
      </c>
      <c r="D3" s="272" t="s">
        <v>363</v>
      </c>
    </row>
    <row r="4" spans="1:4" ht="13.5">
      <c r="A4" s="177"/>
      <c r="D4" s="177"/>
    </row>
    <row r="5" ht="13.5">
      <c r="A5" s="177"/>
    </row>
    <row r="6" ht="13.5">
      <c r="A6" s="177"/>
    </row>
    <row r="7" spans="1:6" ht="13.5">
      <c r="A7" s="273" t="s">
        <v>364</v>
      </c>
      <c r="B7" s="177"/>
      <c r="C7" s="274" t="s">
        <v>365</v>
      </c>
      <c r="D7" s="275">
        <v>0</v>
      </c>
      <c r="E7" s="274" t="s">
        <v>366</v>
      </c>
      <c r="F7" s="275">
        <v>1</v>
      </c>
    </row>
    <row r="8" ht="13.5"/>
    <row r="9" ht="13.5"/>
    <row r="10" ht="13.5"/>
    <row r="11" ht="13.5"/>
    <row r="12" ht="13.5"/>
    <row r="13" ht="13.5"/>
    <row r="14" spans="1:6" ht="13.5">
      <c r="A14" s="341" t="s">
        <v>367</v>
      </c>
      <c r="B14" s="341"/>
      <c r="C14" s="341" t="s">
        <v>368</v>
      </c>
      <c r="D14" s="341"/>
      <c r="E14" s="341" t="s">
        <v>369</v>
      </c>
      <c r="F14" s="341"/>
    </row>
    <row r="15" spans="1:6" ht="16.5">
      <c r="A15" s="276" t="s">
        <v>370</v>
      </c>
      <c r="B15" s="271">
        <f>-SQRT(3/5)</f>
        <v>-0.7745966692414834</v>
      </c>
      <c r="C15" s="277" t="s">
        <v>371</v>
      </c>
      <c r="D15" s="278">
        <f>(1/2)+(1/2)*B15</f>
        <v>0.1127016653792583</v>
      </c>
      <c r="E15" s="276" t="s">
        <v>372</v>
      </c>
      <c r="F15" s="278">
        <f>EXP(-1*D15^2)</f>
        <v>0.9873786603227117</v>
      </c>
    </row>
    <row r="16" spans="1:6" ht="16.5">
      <c r="A16" s="276" t="s">
        <v>373</v>
      </c>
      <c r="B16" s="278">
        <v>0</v>
      </c>
      <c r="C16" s="277" t="s">
        <v>374</v>
      </c>
      <c r="D16" s="278">
        <f>(1/2)+(1/2)*B16</f>
        <v>0.5</v>
      </c>
      <c r="E16" s="276" t="s">
        <v>375</v>
      </c>
      <c r="F16" s="278">
        <f>EXP(-1*D16^2)</f>
        <v>0.7788007830714049</v>
      </c>
    </row>
    <row r="17" spans="1:6" ht="16.5">
      <c r="A17" s="276" t="s">
        <v>376</v>
      </c>
      <c r="B17" s="271">
        <f>SQRT(3/5)</f>
        <v>0.7745966692414834</v>
      </c>
      <c r="C17" s="277" t="s">
        <v>377</v>
      </c>
      <c r="D17" s="278">
        <f>(1/2)+(1/2)*B17</f>
        <v>0.8872983346207417</v>
      </c>
      <c r="E17" s="276" t="s">
        <v>378</v>
      </c>
      <c r="F17" s="278">
        <f>EXP(-1*D17^2)</f>
        <v>0.4550725898515614</v>
      </c>
    </row>
    <row r="19" spans="1:4" ht="16.5">
      <c r="A19" s="279" t="s">
        <v>319</v>
      </c>
      <c r="B19" s="279" t="s">
        <v>379</v>
      </c>
      <c r="C19" s="279" t="s">
        <v>380</v>
      </c>
      <c r="D19" s="279" t="s">
        <v>381</v>
      </c>
    </row>
    <row r="20" spans="1:4" ht="13.5">
      <c r="A20" s="279">
        <v>1</v>
      </c>
      <c r="B20" s="280">
        <f>5/9</f>
        <v>0.5555555555555556</v>
      </c>
      <c r="C20" s="280">
        <f>F15</f>
        <v>0.9873786603227117</v>
      </c>
      <c r="D20" s="280">
        <f>B20*C20</f>
        <v>0.5485437001792843</v>
      </c>
    </row>
    <row r="21" spans="1:4" ht="13.5">
      <c r="A21" s="279">
        <v>2</v>
      </c>
      <c r="B21" s="280">
        <f>8/9</f>
        <v>0.8888888888888888</v>
      </c>
      <c r="C21" s="280">
        <f>F16</f>
        <v>0.7788007830714049</v>
      </c>
      <c r="D21" s="280">
        <f>B21*C21</f>
        <v>0.6922673627301377</v>
      </c>
    </row>
    <row r="22" spans="1:4" ht="13.5">
      <c r="A22" s="279">
        <v>3</v>
      </c>
      <c r="B22" s="280">
        <f>5/9</f>
        <v>0.5555555555555556</v>
      </c>
      <c r="C22" s="280">
        <f>F17</f>
        <v>0.4550725898515614</v>
      </c>
      <c r="D22" s="280">
        <f>B22*C22</f>
        <v>0.2528181054730897</v>
      </c>
    </row>
    <row r="23" spans="3:4" ht="13.5">
      <c r="C23" s="281" t="s">
        <v>248</v>
      </c>
      <c r="D23" s="282">
        <f>(1/2)*SUM(D20:D22)</f>
        <v>0.7468145841912559</v>
      </c>
    </row>
    <row r="24" ht="13.5">
      <c r="D24" s="155" t="s">
        <v>382</v>
      </c>
    </row>
    <row r="25" s="177" customFormat="1" ht="13.5">
      <c r="A25" s="283"/>
    </row>
    <row r="27" ht="13.5">
      <c r="A27" s="3" t="s">
        <v>37</v>
      </c>
    </row>
    <row r="28" spans="1:6" ht="13.5">
      <c r="A28" s="3"/>
      <c r="F28" s="272" t="s">
        <v>383</v>
      </c>
    </row>
    <row r="29" ht="13.5"/>
    <row r="30" spans="1:6" ht="13.5">
      <c r="A30" s="273" t="s">
        <v>364</v>
      </c>
      <c r="B30" s="177"/>
      <c r="C30" s="274" t="s">
        <v>365</v>
      </c>
      <c r="D30" s="284">
        <v>0.5</v>
      </c>
      <c r="E30" s="274" t="s">
        <v>366</v>
      </c>
      <c r="F30" s="284">
        <v>2.5</v>
      </c>
    </row>
    <row r="31" ht="13.5"/>
    <row r="32" ht="13.5"/>
    <row r="33" ht="13.5"/>
    <row r="34" ht="13.5"/>
    <row r="35" ht="13.5"/>
    <row r="36" ht="13.5"/>
    <row r="37" spans="1:6" ht="13.5">
      <c r="A37" s="341" t="s">
        <v>367</v>
      </c>
      <c r="B37" s="341"/>
      <c r="C37" s="341" t="s">
        <v>368</v>
      </c>
      <c r="D37" s="341"/>
      <c r="E37" s="341" t="s">
        <v>369</v>
      </c>
      <c r="F37" s="341"/>
    </row>
    <row r="38" spans="1:6" ht="16.5">
      <c r="A38" s="276" t="s">
        <v>370</v>
      </c>
      <c r="B38" s="271">
        <f>-SQRT(3/5)</f>
        <v>-0.7745966692414834</v>
      </c>
      <c r="C38" s="277" t="s">
        <v>371</v>
      </c>
      <c r="D38" s="278">
        <f>(3/2)+B38</f>
        <v>0.7254033307585166</v>
      </c>
      <c r="E38" s="276" t="s">
        <v>372</v>
      </c>
      <c r="F38" s="278">
        <f>1.13*D38^5-0.852*D38^4+1.02*D38^3-0.985*D38^2+1.24*D38+1.55</f>
        <v>2.3115898827346943</v>
      </c>
    </row>
    <row r="39" spans="1:6" ht="16.5">
      <c r="A39" s="276" t="s">
        <v>373</v>
      </c>
      <c r="B39" s="278">
        <v>0</v>
      </c>
      <c r="C39" s="277" t="s">
        <v>374</v>
      </c>
      <c r="D39" s="278">
        <f>(3/2)+B39</f>
        <v>1.5</v>
      </c>
      <c r="E39" s="276" t="s">
        <v>375</v>
      </c>
      <c r="F39" s="278">
        <f>1.13*D39^5-0.852*D39^4+1.02*D39^3-0.985*D39^2+1.24*D39+1.55</f>
        <v>8.9039375</v>
      </c>
    </row>
    <row r="40" spans="1:6" ht="16.5">
      <c r="A40" s="276" t="s">
        <v>376</v>
      </c>
      <c r="B40" s="271">
        <f>SQRT(3/5)</f>
        <v>0.7745966692414834</v>
      </c>
      <c r="C40" s="277" t="s">
        <v>377</v>
      </c>
      <c r="D40" s="278">
        <f>(3/2)+B40</f>
        <v>2.2745966692414834</v>
      </c>
      <c r="E40" s="276" t="s">
        <v>378</v>
      </c>
      <c r="F40" s="278">
        <f>1.13*D40^5-0.852*D40^4+1.02*D40^3-0.985*D40^2+1.24*D40+1.55</f>
        <v>57.2734451172653</v>
      </c>
    </row>
    <row r="42" spans="1:4" ht="16.5">
      <c r="A42" s="279" t="s">
        <v>319</v>
      </c>
      <c r="B42" s="279" t="s">
        <v>379</v>
      </c>
      <c r="C42" s="279" t="s">
        <v>380</v>
      </c>
      <c r="D42" s="279" t="s">
        <v>381</v>
      </c>
    </row>
    <row r="43" spans="1:4" ht="13.5">
      <c r="A43" s="279">
        <v>1</v>
      </c>
      <c r="B43" s="280">
        <f>5/9</f>
        <v>0.5555555555555556</v>
      </c>
      <c r="C43" s="280">
        <f>F38</f>
        <v>2.3115898827346943</v>
      </c>
      <c r="D43" s="280">
        <f>B43*C43</f>
        <v>1.2842166015192746</v>
      </c>
    </row>
    <row r="44" spans="1:4" ht="13.5">
      <c r="A44" s="279">
        <v>2</v>
      </c>
      <c r="B44" s="280">
        <f>8/9</f>
        <v>0.8888888888888888</v>
      </c>
      <c r="C44" s="280">
        <f>F39</f>
        <v>8.9039375</v>
      </c>
      <c r="D44" s="280">
        <f>B44*C44</f>
        <v>7.91461111111111</v>
      </c>
    </row>
    <row r="45" spans="1:4" ht="13.5">
      <c r="A45" s="279">
        <v>3</v>
      </c>
      <c r="B45" s="280">
        <f>5/9</f>
        <v>0.5555555555555556</v>
      </c>
      <c r="C45" s="280">
        <f>F40</f>
        <v>57.2734451172653</v>
      </c>
      <c r="D45" s="280">
        <f>B45*C45</f>
        <v>31.818580620702946</v>
      </c>
    </row>
    <row r="46" spans="3:4" ht="13.5">
      <c r="C46" s="281" t="s">
        <v>248</v>
      </c>
      <c r="D46" s="282">
        <f>SUM(D43:D45)</f>
        <v>41.01740833333333</v>
      </c>
    </row>
    <row r="47" ht="13.5">
      <c r="D47" s="155" t="s">
        <v>384</v>
      </c>
    </row>
  </sheetData>
  <mergeCells count="6">
    <mergeCell ref="A14:B14"/>
    <mergeCell ref="C14:D14"/>
    <mergeCell ref="E14:F14"/>
    <mergeCell ref="A37:B37"/>
    <mergeCell ref="C37:D37"/>
    <mergeCell ref="E37:F37"/>
  </mergeCells>
  <printOptions/>
  <pageMargins left="0.75" right="0.75" top="1" bottom="1" header="0.512" footer="0.512"/>
  <pageSetup horizontalDpi="600" verticalDpi="600" orientation="portrait" paperSize="9" r:id="rId12"/>
  <legacyDrawing r:id="rId11"/>
  <oleObjects>
    <oleObject progId="Equation.3" shapeId="973865" r:id="rId1"/>
    <oleObject progId="Equation.3" shapeId="973866" r:id="rId2"/>
    <oleObject progId="Equation.3" shapeId="973867" r:id="rId3"/>
    <oleObject progId="Equation.3" shapeId="973868" r:id="rId4"/>
    <oleObject progId="Equation.3" shapeId="973869" r:id="rId5"/>
    <oleObject progId="Equation.3" shapeId="973870" r:id="rId6"/>
    <oleObject progId="Equation.3" shapeId="973871" r:id="rId7"/>
    <oleObject progId="Equation.3" shapeId="973872" r:id="rId8"/>
    <oleObject progId="Equation.3" shapeId="973873" r:id="rId9"/>
    <oleObject progId="Equation.3" shapeId="973874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1" sqref="D1"/>
    </sheetView>
  </sheetViews>
  <sheetFormatPr defaultColWidth="9.00390625" defaultRowHeight="13.5"/>
  <cols>
    <col min="1" max="1" width="9.00390625" style="2" customWidth="1"/>
    <col min="2" max="3" width="9.50390625" style="2" bestFit="1" customWidth="1"/>
    <col min="4" max="4" width="10.25390625" style="2" customWidth="1"/>
    <col min="5" max="5" width="9.50390625" style="2" bestFit="1" customWidth="1"/>
    <col min="6" max="16384" width="9.00390625" style="2" customWidth="1"/>
  </cols>
  <sheetData>
    <row r="1" ht="17.25">
      <c r="A1" s="135" t="s">
        <v>28</v>
      </c>
    </row>
    <row r="3" ht="13.5">
      <c r="A3" s="3" t="s">
        <v>0</v>
      </c>
    </row>
    <row r="4" spans="1:3" ht="13.5">
      <c r="A4" s="41" t="s">
        <v>59</v>
      </c>
      <c r="B4" s="42" t="s">
        <v>60</v>
      </c>
      <c r="C4" s="43" t="s">
        <v>61</v>
      </c>
    </row>
    <row r="5" spans="1:3" ht="13.5">
      <c r="A5" s="139">
        <v>1</v>
      </c>
      <c r="B5" s="44">
        <v>2</v>
      </c>
      <c r="C5" s="45">
        <v>0.6931</v>
      </c>
    </row>
    <row r="6" spans="1:3" ht="13.5">
      <c r="A6" s="140">
        <v>2</v>
      </c>
      <c r="B6" s="46">
        <v>2.1</v>
      </c>
      <c r="C6" s="47">
        <v>0.7419</v>
      </c>
    </row>
    <row r="7" spans="1:3" ht="13.5">
      <c r="A7" s="140">
        <v>3</v>
      </c>
      <c r="B7" s="46">
        <v>2.3</v>
      </c>
      <c r="C7" s="47">
        <v>0.8329</v>
      </c>
    </row>
    <row r="8" spans="1:3" ht="13.5">
      <c r="A8" s="141">
        <v>4</v>
      </c>
      <c r="B8" s="48">
        <v>2.45</v>
      </c>
      <c r="C8" s="49">
        <v>0.8961</v>
      </c>
    </row>
    <row r="10" spans="1:3" ht="13.5">
      <c r="A10" s="50" t="s">
        <v>62</v>
      </c>
      <c r="B10" s="51">
        <v>2.2</v>
      </c>
      <c r="C10" s="2" t="s">
        <v>89</v>
      </c>
    </row>
    <row r="12" spans="1:8" ht="16.5">
      <c r="A12" s="41" t="s">
        <v>59</v>
      </c>
      <c r="B12" s="42" t="s">
        <v>60</v>
      </c>
      <c r="C12" s="43" t="s">
        <v>61</v>
      </c>
      <c r="D12" s="25" t="s">
        <v>63</v>
      </c>
      <c r="E12" s="52" t="s">
        <v>205</v>
      </c>
      <c r="F12" s="53" t="s">
        <v>206</v>
      </c>
      <c r="G12" s="53" t="s">
        <v>207</v>
      </c>
      <c r="H12" s="54" t="s">
        <v>208</v>
      </c>
    </row>
    <row r="13" spans="1:8" ht="13.5">
      <c r="A13" s="139">
        <v>1</v>
      </c>
      <c r="B13" s="44">
        <v>2</v>
      </c>
      <c r="C13" s="45">
        <v>0.6931</v>
      </c>
      <c r="D13" s="290">
        <f>$B$10-B13</f>
        <v>0.20000000000000018</v>
      </c>
      <c r="E13" s="291">
        <f>$B$13-B13</f>
        <v>0</v>
      </c>
      <c r="F13" s="285">
        <f>$B$14-B13</f>
        <v>0.10000000000000009</v>
      </c>
      <c r="G13" s="285">
        <f>$B$15-B13</f>
        <v>0.2999999999999998</v>
      </c>
      <c r="H13" s="286">
        <f>$B$16-B13</f>
        <v>0.4500000000000002</v>
      </c>
    </row>
    <row r="14" spans="1:8" ht="13.5">
      <c r="A14" s="140">
        <v>2</v>
      </c>
      <c r="B14" s="46">
        <v>2.1</v>
      </c>
      <c r="C14" s="47">
        <v>0.7419</v>
      </c>
      <c r="D14" s="287">
        <f>$B$10-B14</f>
        <v>0.10000000000000009</v>
      </c>
      <c r="E14" s="288">
        <f>$B$13-B14</f>
        <v>-0.10000000000000009</v>
      </c>
      <c r="F14" s="289">
        <f>$B$14-B14</f>
        <v>0</v>
      </c>
      <c r="G14" s="292">
        <f>$B$15-B14</f>
        <v>0.19999999999999973</v>
      </c>
      <c r="H14" s="293">
        <f>$B$16-B14</f>
        <v>0.3500000000000001</v>
      </c>
    </row>
    <row r="15" spans="1:8" ht="13.5">
      <c r="A15" s="140">
        <v>3</v>
      </c>
      <c r="B15" s="46">
        <v>2.3</v>
      </c>
      <c r="C15" s="47">
        <v>0.8329</v>
      </c>
      <c r="D15" s="287">
        <f>$B$10-B15</f>
        <v>-0.09999999999999964</v>
      </c>
      <c r="E15" s="288">
        <f>$B$13-B15</f>
        <v>-0.2999999999999998</v>
      </c>
      <c r="F15" s="292">
        <f>$B$14-B15</f>
        <v>-0.19999999999999973</v>
      </c>
      <c r="G15" s="289">
        <f>$B$15-B15</f>
        <v>0</v>
      </c>
      <c r="H15" s="293">
        <f>$B$16-B15</f>
        <v>0.15000000000000036</v>
      </c>
    </row>
    <row r="16" spans="1:8" ht="13.5">
      <c r="A16" s="141">
        <v>4</v>
      </c>
      <c r="B16" s="48">
        <v>2.45</v>
      </c>
      <c r="C16" s="49">
        <v>0.8961</v>
      </c>
      <c r="D16" s="294">
        <f>$B$10-B16</f>
        <v>-0.25</v>
      </c>
      <c r="E16" s="295">
        <f>$B$13-B16</f>
        <v>-0.4500000000000002</v>
      </c>
      <c r="F16" s="296">
        <f>$B$14-B16</f>
        <v>-0.3500000000000001</v>
      </c>
      <c r="G16" s="296">
        <f>$B$15-B16</f>
        <v>-0.15000000000000036</v>
      </c>
      <c r="H16" s="297">
        <f>$B$16-B16</f>
        <v>0</v>
      </c>
    </row>
    <row r="18" ht="13.5">
      <c r="A18" s="2" t="s">
        <v>90</v>
      </c>
    </row>
    <row r="20" spans="1:5" ht="13.5">
      <c r="A20" s="55" t="s">
        <v>2</v>
      </c>
      <c r="B20" s="56" t="s">
        <v>3</v>
      </c>
      <c r="C20" s="56" t="s">
        <v>4</v>
      </c>
      <c r="D20" s="42" t="s">
        <v>64</v>
      </c>
      <c r="E20" s="57" t="s">
        <v>5</v>
      </c>
    </row>
    <row r="21" spans="1:5" ht="13.5">
      <c r="A21" s="136">
        <v>1</v>
      </c>
      <c r="B21" s="58">
        <f>D14*D15*D16</f>
        <v>0.0024999999999999935</v>
      </c>
      <c r="C21" s="58">
        <f>E14*E15*E16</f>
        <v>-0.01350000000000001</v>
      </c>
      <c r="D21" s="59">
        <v>0.6931</v>
      </c>
      <c r="E21" s="60">
        <f>(B21/C21)*D21</f>
        <v>-0.12835185185185144</v>
      </c>
    </row>
    <row r="22" spans="1:5" ht="13.5">
      <c r="A22" s="137">
        <v>2</v>
      </c>
      <c r="B22" s="61">
        <f>D13*D15*D16</f>
        <v>0.004999999999999987</v>
      </c>
      <c r="C22" s="61">
        <f>F13*F15*F16</f>
        <v>0.006999999999999998</v>
      </c>
      <c r="D22" s="62">
        <v>0.7419</v>
      </c>
      <c r="E22" s="63">
        <f>(B22/C22)*D22</f>
        <v>0.5299285714285702</v>
      </c>
    </row>
    <row r="23" spans="1:5" ht="13.5">
      <c r="A23" s="137">
        <v>3</v>
      </c>
      <c r="B23" s="61">
        <f>D13*D14*D16</f>
        <v>-0.005000000000000009</v>
      </c>
      <c r="C23" s="61">
        <f>G13*G14*G16</f>
        <v>-0.009000000000000005</v>
      </c>
      <c r="D23" s="62">
        <v>0.8329</v>
      </c>
      <c r="E23" s="63">
        <f>(B23/C23)*D23</f>
        <v>0.46272222222222276</v>
      </c>
    </row>
    <row r="24" spans="1:5" ht="13.5">
      <c r="A24" s="138">
        <v>4</v>
      </c>
      <c r="B24" s="64">
        <f>D13*D14*D15</f>
        <v>-0.0019999999999999966</v>
      </c>
      <c r="C24" s="64">
        <f>H13*H14*H15</f>
        <v>0.023625000000000073</v>
      </c>
      <c r="D24" s="65">
        <v>0.8961</v>
      </c>
      <c r="E24" s="66">
        <f>(B24/C24)*D24</f>
        <v>-0.0758603174603171</v>
      </c>
    </row>
    <row r="25" spans="2:5" ht="13.5">
      <c r="B25" s="67" t="s">
        <v>65</v>
      </c>
      <c r="C25" s="298">
        <f>B10</f>
        <v>2.2</v>
      </c>
      <c r="D25" s="68" t="s">
        <v>66</v>
      </c>
      <c r="E25" s="69">
        <f>SUM(E21:E24)</f>
        <v>0.7884386243386244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C1" sqref="C1"/>
    </sheetView>
  </sheetViews>
  <sheetFormatPr defaultColWidth="9.00390625" defaultRowHeight="13.5"/>
  <cols>
    <col min="1" max="1" width="10.375" style="2" customWidth="1"/>
    <col min="2" max="2" width="10.625" style="2" customWidth="1"/>
    <col min="3" max="5" width="9.00390625" style="2" customWidth="1"/>
    <col min="6" max="6" width="9.875" style="2" bestFit="1" customWidth="1"/>
    <col min="7" max="16384" width="9.00390625" style="2" customWidth="1"/>
  </cols>
  <sheetData>
    <row r="1" ht="17.25">
      <c r="A1" s="135" t="s">
        <v>136</v>
      </c>
    </row>
    <row r="18" spans="1:8" ht="13.5">
      <c r="A18" s="2" t="s">
        <v>137</v>
      </c>
      <c r="G18" s="316" t="s">
        <v>138</v>
      </c>
      <c r="H18" s="317"/>
    </row>
    <row r="19" spans="1:2" ht="16.5">
      <c r="A19" s="122" t="s">
        <v>139</v>
      </c>
      <c r="B19" s="119"/>
    </row>
    <row r="20" spans="1:2" ht="16.5">
      <c r="A20" s="123" t="s">
        <v>140</v>
      </c>
      <c r="B20" s="120"/>
    </row>
    <row r="21" spans="1:2" ht="16.5">
      <c r="A21" s="123" t="s">
        <v>141</v>
      </c>
      <c r="B21" s="120"/>
    </row>
    <row r="22" spans="1:2" ht="16.5">
      <c r="A22" s="124" t="s">
        <v>142</v>
      </c>
      <c r="B22" s="121"/>
    </row>
    <row r="24" ht="13.5">
      <c r="A24" s="2" t="s">
        <v>143</v>
      </c>
    </row>
    <row r="25" ht="13.5">
      <c r="A25" s="2" t="s">
        <v>144</v>
      </c>
    </row>
    <row r="26" ht="13.5">
      <c r="A26" s="2" t="s">
        <v>69</v>
      </c>
    </row>
    <row r="28" spans="1:4" ht="13.5">
      <c r="A28" s="117" t="s">
        <v>70</v>
      </c>
      <c r="B28" s="117" t="s">
        <v>145</v>
      </c>
      <c r="C28" s="117" t="s">
        <v>146</v>
      </c>
      <c r="D28" s="117" t="s">
        <v>71</v>
      </c>
    </row>
    <row r="29" spans="1:4" ht="13.5">
      <c r="A29" s="117">
        <v>1</v>
      </c>
      <c r="B29" s="117">
        <v>5</v>
      </c>
      <c r="C29" s="117">
        <v>2</v>
      </c>
      <c r="D29" s="117">
        <v>5</v>
      </c>
    </row>
    <row r="30" spans="1:4" ht="13.5">
      <c r="A30" s="117">
        <v>2</v>
      </c>
      <c r="B30" s="117">
        <v>15</v>
      </c>
      <c r="C30" s="117">
        <v>2</v>
      </c>
      <c r="D30" s="117">
        <v>8</v>
      </c>
    </row>
    <row r="31" spans="1:4" ht="13.5">
      <c r="A31" s="117">
        <v>3</v>
      </c>
      <c r="B31" s="117">
        <v>15</v>
      </c>
      <c r="C31" s="117">
        <v>10</v>
      </c>
      <c r="D31" s="117">
        <v>10</v>
      </c>
    </row>
    <row r="32" spans="1:4" ht="13.5">
      <c r="A32" s="117">
        <v>4</v>
      </c>
      <c r="B32" s="117">
        <v>5</v>
      </c>
      <c r="C32" s="117">
        <v>10</v>
      </c>
      <c r="D32" s="117">
        <v>12</v>
      </c>
    </row>
    <row r="33" spans="1:3" ht="13.5">
      <c r="A33" s="116" t="s">
        <v>147</v>
      </c>
      <c r="B33" s="116">
        <v>8</v>
      </c>
      <c r="C33" s="116">
        <v>6</v>
      </c>
    </row>
    <row r="35" ht="13.5">
      <c r="A35" s="2" t="s">
        <v>68</v>
      </c>
    </row>
    <row r="36" spans="1:4" ht="13.5">
      <c r="A36" s="50" t="s">
        <v>148</v>
      </c>
      <c r="B36" s="2">
        <f>(B30-B29)/(1-(-1))</f>
        <v>5</v>
      </c>
      <c r="D36" s="2" t="s">
        <v>149</v>
      </c>
    </row>
    <row r="37" spans="1:4" ht="13.5">
      <c r="A37" s="50" t="s">
        <v>150</v>
      </c>
      <c r="B37" s="2">
        <f>(C31-C30)/(1-(-1))</f>
        <v>4</v>
      </c>
      <c r="D37" s="2" t="s">
        <v>151</v>
      </c>
    </row>
    <row r="38" ht="13.5">
      <c r="A38" s="2" t="s">
        <v>152</v>
      </c>
    </row>
    <row r="39" spans="1:4" ht="13.5">
      <c r="A39" s="50" t="s">
        <v>153</v>
      </c>
      <c r="B39" s="2">
        <f>B29+B36</f>
        <v>10</v>
      </c>
      <c r="D39" s="2" t="s">
        <v>154</v>
      </c>
    </row>
    <row r="40" spans="1:4" ht="13.5">
      <c r="A40" s="50" t="s">
        <v>155</v>
      </c>
      <c r="B40" s="2">
        <f>C29+B37</f>
        <v>6</v>
      </c>
      <c r="D40" s="2" t="s">
        <v>156</v>
      </c>
    </row>
    <row r="41" ht="13.5">
      <c r="A41" s="2" t="s">
        <v>157</v>
      </c>
    </row>
    <row r="42" spans="1:4" ht="13.5">
      <c r="A42" s="50" t="s">
        <v>158</v>
      </c>
      <c r="B42" s="2">
        <f>(B33-B39)/B36</f>
        <v>-0.4</v>
      </c>
      <c r="D42" s="2" t="s">
        <v>159</v>
      </c>
    </row>
    <row r="43" spans="1:4" ht="13.5">
      <c r="A43" s="50" t="s">
        <v>160</v>
      </c>
      <c r="B43" s="2">
        <f>(C33-B40)/B37</f>
        <v>0</v>
      </c>
      <c r="D43" s="2" t="s">
        <v>161</v>
      </c>
    </row>
    <row r="45" spans="1:4" ht="13.5">
      <c r="A45" s="115" t="s">
        <v>74</v>
      </c>
      <c r="B45" s="115" t="s">
        <v>72</v>
      </c>
      <c r="C45" s="115" t="s">
        <v>73</v>
      </c>
      <c r="D45" s="115" t="s">
        <v>162</v>
      </c>
    </row>
    <row r="46" spans="1:4" ht="13.5">
      <c r="A46" s="115">
        <v>1</v>
      </c>
      <c r="B46" s="125">
        <f>1/4*(1-B42)*(1-B43)</f>
        <v>0.35</v>
      </c>
      <c r="C46" s="115">
        <v>5</v>
      </c>
      <c r="D46" s="115">
        <f>B46*C46</f>
        <v>1.75</v>
      </c>
    </row>
    <row r="47" spans="1:4" ht="13.5">
      <c r="A47" s="115">
        <v>2</v>
      </c>
      <c r="B47" s="125">
        <f>1/4*(1+B42)*(1-B43)</f>
        <v>0.15</v>
      </c>
      <c r="C47" s="115">
        <v>8</v>
      </c>
      <c r="D47" s="115">
        <f>B47*C47</f>
        <v>1.2</v>
      </c>
    </row>
    <row r="48" spans="1:4" ht="13.5">
      <c r="A48" s="115">
        <v>3</v>
      </c>
      <c r="B48" s="125">
        <f>1/4*(1+B42)*(1+B43)</f>
        <v>0.15</v>
      </c>
      <c r="C48" s="115">
        <v>10</v>
      </c>
      <c r="D48" s="115">
        <f>B48*C48</f>
        <v>1.5</v>
      </c>
    </row>
    <row r="49" spans="1:4" ht="13.5">
      <c r="A49" s="115">
        <v>4</v>
      </c>
      <c r="B49" s="125">
        <f>1/4*(1-B42)*(1+B43)</f>
        <v>0.35</v>
      </c>
      <c r="C49" s="115">
        <v>12</v>
      </c>
      <c r="D49" s="115">
        <f>B49*C49</f>
        <v>4.199999999999999</v>
      </c>
    </row>
    <row r="50" spans="1:4" ht="13.5">
      <c r="A50" s="113" t="s">
        <v>163</v>
      </c>
      <c r="B50" s="126"/>
      <c r="C50" s="126"/>
      <c r="D50" s="113">
        <f>SUM(D46:D49)</f>
        <v>8.649999999999999</v>
      </c>
    </row>
    <row r="54" ht="17.25">
      <c r="A54" s="135" t="s">
        <v>164</v>
      </c>
    </row>
    <row r="72" spans="1:8" ht="13.5">
      <c r="A72" s="2" t="s">
        <v>137</v>
      </c>
      <c r="G72" s="316" t="s">
        <v>138</v>
      </c>
      <c r="H72" s="317"/>
    </row>
    <row r="73" spans="1:6" ht="17.25">
      <c r="A73" s="122" t="s">
        <v>165</v>
      </c>
      <c r="B73" s="127"/>
      <c r="C73" s="119"/>
      <c r="D73" s="122" t="s">
        <v>166</v>
      </c>
      <c r="E73" s="127"/>
      <c r="F73" s="119"/>
    </row>
    <row r="74" spans="1:6" ht="17.25">
      <c r="A74" s="123" t="s">
        <v>167</v>
      </c>
      <c r="B74" s="128"/>
      <c r="C74" s="120"/>
      <c r="D74" s="123" t="s">
        <v>168</v>
      </c>
      <c r="E74" s="128"/>
      <c r="F74" s="120"/>
    </row>
    <row r="75" spans="1:6" ht="17.25">
      <c r="A75" s="123" t="s">
        <v>169</v>
      </c>
      <c r="B75" s="128"/>
      <c r="C75" s="120"/>
      <c r="D75" s="123" t="s">
        <v>170</v>
      </c>
      <c r="E75" s="128"/>
      <c r="F75" s="120"/>
    </row>
    <row r="76" spans="1:6" ht="17.25">
      <c r="A76" s="124" t="s">
        <v>171</v>
      </c>
      <c r="B76" s="129"/>
      <c r="C76" s="121"/>
      <c r="D76" s="124" t="s">
        <v>172</v>
      </c>
      <c r="E76" s="129"/>
      <c r="F76" s="121"/>
    </row>
    <row r="78" ht="13.5">
      <c r="A78" s="2" t="s">
        <v>143</v>
      </c>
    </row>
    <row r="79" ht="13.5">
      <c r="A79" s="2" t="s">
        <v>144</v>
      </c>
    </row>
    <row r="80" ht="13.5">
      <c r="A80" s="2" t="s">
        <v>173</v>
      </c>
    </row>
    <row r="82" spans="1:8" ht="13.5">
      <c r="A82" s="117" t="s">
        <v>70</v>
      </c>
      <c r="B82" s="117" t="s">
        <v>145</v>
      </c>
      <c r="C82" s="117" t="s">
        <v>146</v>
      </c>
      <c r="D82" s="117" t="s">
        <v>71</v>
      </c>
      <c r="E82" s="130" t="s">
        <v>70</v>
      </c>
      <c r="F82" s="130" t="s">
        <v>145</v>
      </c>
      <c r="G82" s="130" t="s">
        <v>146</v>
      </c>
      <c r="H82" s="130" t="s">
        <v>71</v>
      </c>
    </row>
    <row r="83" spans="1:8" ht="13.5">
      <c r="A83" s="117">
        <v>1</v>
      </c>
      <c r="B83" s="117">
        <v>5</v>
      </c>
      <c r="C83" s="117">
        <v>2</v>
      </c>
      <c r="D83" s="117">
        <v>5</v>
      </c>
      <c r="E83" s="130">
        <v>5</v>
      </c>
      <c r="F83" s="130">
        <f aca="true" t="shared" si="0" ref="F83:H84">(B84-B83)/(1-(-1))+B83</f>
        <v>10</v>
      </c>
      <c r="G83" s="130">
        <f t="shared" si="0"/>
        <v>2</v>
      </c>
      <c r="H83" s="130">
        <f t="shared" si="0"/>
        <v>6.5</v>
      </c>
    </row>
    <row r="84" spans="1:8" ht="13.5">
      <c r="A84" s="117">
        <v>2</v>
      </c>
      <c r="B84" s="117">
        <v>15</v>
      </c>
      <c r="C84" s="117">
        <v>2</v>
      </c>
      <c r="D84" s="117">
        <v>8</v>
      </c>
      <c r="E84" s="130">
        <v>6</v>
      </c>
      <c r="F84" s="130">
        <f t="shared" si="0"/>
        <v>15</v>
      </c>
      <c r="G84" s="130">
        <f t="shared" si="0"/>
        <v>6</v>
      </c>
      <c r="H84" s="130">
        <f t="shared" si="0"/>
        <v>9</v>
      </c>
    </row>
    <row r="85" spans="1:8" ht="13.5">
      <c r="A85" s="117">
        <v>3</v>
      </c>
      <c r="B85" s="117">
        <v>15</v>
      </c>
      <c r="C85" s="117">
        <v>10</v>
      </c>
      <c r="D85" s="117">
        <v>10</v>
      </c>
      <c r="E85" s="130">
        <v>7</v>
      </c>
      <c r="F85" s="130">
        <f>(B85-B86)/(1-(-1))+B86</f>
        <v>10</v>
      </c>
      <c r="G85" s="130">
        <f>(C85-C86)/(1-(-1))+C86</f>
        <v>10</v>
      </c>
      <c r="H85" s="130">
        <f>(D85-D86)/(1-(-1))+D86</f>
        <v>11</v>
      </c>
    </row>
    <row r="86" spans="1:8" ht="13.5">
      <c r="A86" s="117">
        <v>4</v>
      </c>
      <c r="B86" s="117">
        <v>5</v>
      </c>
      <c r="C86" s="117">
        <v>10</v>
      </c>
      <c r="D86" s="117">
        <v>12</v>
      </c>
      <c r="E86" s="130">
        <v>8</v>
      </c>
      <c r="F86" s="130">
        <f>(B86-B83)/(1-(-1))+B83</f>
        <v>5</v>
      </c>
      <c r="G86" s="130">
        <f>(C86-C83)/(1-(-1))+C83</f>
        <v>6</v>
      </c>
      <c r="H86" s="130">
        <f>(D86-D83)/(1-(-1))+D83</f>
        <v>8.5</v>
      </c>
    </row>
    <row r="87" spans="1:3" ht="13.5">
      <c r="A87" s="116" t="s">
        <v>163</v>
      </c>
      <c r="B87" s="116">
        <v>8</v>
      </c>
      <c r="C87" s="116">
        <v>6</v>
      </c>
    </row>
    <row r="89" ht="13.5">
      <c r="A89" s="2" t="s">
        <v>68</v>
      </c>
    </row>
    <row r="90" spans="1:4" ht="13.5">
      <c r="A90" s="50" t="s">
        <v>148</v>
      </c>
      <c r="B90" s="2">
        <f>(B84-B83)/(1-(-1))</f>
        <v>5</v>
      </c>
      <c r="D90" s="2" t="s">
        <v>149</v>
      </c>
    </row>
    <row r="91" spans="1:4" ht="13.5">
      <c r="A91" s="50" t="s">
        <v>150</v>
      </c>
      <c r="B91" s="2">
        <f>(C85-C84)/(1-(-1))</f>
        <v>4</v>
      </c>
      <c r="D91" s="2" t="s">
        <v>151</v>
      </c>
    </row>
    <row r="92" ht="13.5">
      <c r="A92" s="2" t="s">
        <v>152</v>
      </c>
    </row>
    <row r="93" spans="1:4" ht="13.5">
      <c r="A93" s="50" t="s">
        <v>153</v>
      </c>
      <c r="B93" s="2">
        <f>B83+B90</f>
        <v>10</v>
      </c>
      <c r="D93" s="2" t="s">
        <v>154</v>
      </c>
    </row>
    <row r="94" spans="1:4" ht="13.5">
      <c r="A94" s="50" t="s">
        <v>155</v>
      </c>
      <c r="B94" s="2">
        <f>C83+B91</f>
        <v>6</v>
      </c>
      <c r="D94" s="2" t="s">
        <v>156</v>
      </c>
    </row>
    <row r="95" ht="13.5">
      <c r="A95" s="2" t="s">
        <v>157</v>
      </c>
    </row>
    <row r="96" spans="1:4" ht="13.5">
      <c r="A96" s="50" t="s">
        <v>158</v>
      </c>
      <c r="B96" s="2">
        <f>(B87-B93)/B90</f>
        <v>-0.4</v>
      </c>
      <c r="D96" s="2" t="s">
        <v>159</v>
      </c>
    </row>
    <row r="97" spans="1:4" ht="13.5">
      <c r="A97" s="50" t="s">
        <v>160</v>
      </c>
      <c r="B97" s="2">
        <f>(C87-B94)/B91</f>
        <v>0</v>
      </c>
      <c r="D97" s="2" t="s">
        <v>161</v>
      </c>
    </row>
    <row r="99" spans="1:8" ht="13.5">
      <c r="A99" s="115" t="s">
        <v>74</v>
      </c>
      <c r="B99" s="115" t="s">
        <v>72</v>
      </c>
      <c r="C99" s="115" t="s">
        <v>73</v>
      </c>
      <c r="D99" s="115" t="s">
        <v>162</v>
      </c>
      <c r="E99" s="115" t="s">
        <v>74</v>
      </c>
      <c r="F99" s="115" t="s">
        <v>72</v>
      </c>
      <c r="G99" s="115" t="s">
        <v>73</v>
      </c>
      <c r="H99" s="115" t="s">
        <v>162</v>
      </c>
    </row>
    <row r="100" spans="1:8" ht="13.5">
      <c r="A100" s="115">
        <v>1</v>
      </c>
      <c r="B100" s="125">
        <f>1/4*(1-B96)*(1-B97)*(-1-B96-B97)</f>
        <v>-0.21</v>
      </c>
      <c r="C100" s="115">
        <f>D83</f>
        <v>5</v>
      </c>
      <c r="D100" s="115">
        <f>B100*C100</f>
        <v>-1.05</v>
      </c>
      <c r="E100" s="115">
        <v>1</v>
      </c>
      <c r="F100" s="125">
        <f>1/2*(1-B96^2)*(1-B97)</f>
        <v>0.42</v>
      </c>
      <c r="G100" s="115">
        <f>H83</f>
        <v>6.5</v>
      </c>
      <c r="H100" s="115">
        <f>F100*G100</f>
        <v>2.73</v>
      </c>
    </row>
    <row r="101" spans="1:8" ht="13.5">
      <c r="A101" s="115">
        <v>2</v>
      </c>
      <c r="B101" s="125">
        <f>1/4*(1+B96)*(1-B97)*(-1+B96-B97)</f>
        <v>-0.21</v>
      </c>
      <c r="C101" s="115">
        <f>D84</f>
        <v>8</v>
      </c>
      <c r="D101" s="115">
        <f>B101*C101</f>
        <v>-1.68</v>
      </c>
      <c r="E101" s="115">
        <v>2</v>
      </c>
      <c r="F101" s="125">
        <f>1/2*(1+B96)*(1-B97^2)</f>
        <v>0.3</v>
      </c>
      <c r="G101" s="115">
        <f>H84</f>
        <v>9</v>
      </c>
      <c r="H101" s="115">
        <f>F101*G101</f>
        <v>2.6999999999999997</v>
      </c>
    </row>
    <row r="102" spans="1:8" ht="13.5">
      <c r="A102" s="115">
        <v>3</v>
      </c>
      <c r="B102" s="125">
        <f>1/4*(1+B96)*(1+B97)*(-1+B96+B97)</f>
        <v>-0.21</v>
      </c>
      <c r="C102" s="115">
        <f>D85</f>
        <v>10</v>
      </c>
      <c r="D102" s="115">
        <f>B102*C102</f>
        <v>-2.1</v>
      </c>
      <c r="E102" s="115">
        <v>3</v>
      </c>
      <c r="F102" s="125">
        <f>1/2*(1-B96^2)*(1+B97)</f>
        <v>0.42</v>
      </c>
      <c r="G102" s="115">
        <f>H85</f>
        <v>11</v>
      </c>
      <c r="H102" s="115">
        <f>F102*G102</f>
        <v>4.62</v>
      </c>
    </row>
    <row r="103" spans="1:8" ht="13.5">
      <c r="A103" s="115">
        <v>4</v>
      </c>
      <c r="B103" s="125">
        <f>1/4*(1-B96)*(1+B97)*(-1-B96+B97)</f>
        <v>-0.21</v>
      </c>
      <c r="C103" s="115">
        <f>D86</f>
        <v>12</v>
      </c>
      <c r="D103" s="115">
        <f>B103*C103</f>
        <v>-2.52</v>
      </c>
      <c r="E103" s="115">
        <v>4</v>
      </c>
      <c r="F103" s="125">
        <f>1/2*(1-B96)*(1-B97^2)</f>
        <v>0.7</v>
      </c>
      <c r="G103" s="115">
        <f>H86</f>
        <v>8.5</v>
      </c>
      <c r="H103" s="115">
        <f>F103*G103</f>
        <v>5.949999999999999</v>
      </c>
    </row>
    <row r="104" spans="1:8" ht="13.5">
      <c r="A104" s="131"/>
      <c r="B104" s="132"/>
      <c r="C104" s="133" t="s">
        <v>75</v>
      </c>
      <c r="D104" s="134">
        <f>SUM(D100:D103)</f>
        <v>-7.35</v>
      </c>
      <c r="G104" s="133" t="s">
        <v>76</v>
      </c>
      <c r="H104" s="134">
        <f>SUM(H100:H103)</f>
        <v>16</v>
      </c>
    </row>
    <row r="105" spans="7:8" ht="13.5">
      <c r="G105" s="113" t="s">
        <v>174</v>
      </c>
      <c r="H105" s="113">
        <f>D104+H104</f>
        <v>8.65</v>
      </c>
    </row>
  </sheetData>
  <mergeCells count="2">
    <mergeCell ref="G18:H18"/>
    <mergeCell ref="G72:H7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C1" sqref="C1"/>
    </sheetView>
  </sheetViews>
  <sheetFormatPr defaultColWidth="9.00390625" defaultRowHeight="13.5"/>
  <cols>
    <col min="1" max="16384" width="9.00390625" style="2" customWidth="1"/>
  </cols>
  <sheetData>
    <row r="1" ht="17.25">
      <c r="A1" s="135" t="s">
        <v>175</v>
      </c>
    </row>
    <row r="21" spans="1:8" ht="13.5">
      <c r="A21" s="2" t="s">
        <v>137</v>
      </c>
      <c r="G21" s="316" t="s">
        <v>138</v>
      </c>
      <c r="H21" s="317"/>
    </row>
    <row r="22" spans="1:4" ht="16.5">
      <c r="A22" s="122" t="s">
        <v>176</v>
      </c>
      <c r="B22" s="127"/>
      <c r="C22" s="119"/>
      <c r="D22" s="118"/>
    </row>
    <row r="23" spans="1:4" ht="16.5">
      <c r="A23" s="123" t="s">
        <v>177</v>
      </c>
      <c r="B23" s="128"/>
      <c r="C23" s="120"/>
      <c r="D23" s="118"/>
    </row>
    <row r="24" spans="1:4" ht="16.5">
      <c r="A24" s="123" t="s">
        <v>178</v>
      </c>
      <c r="B24" s="128"/>
      <c r="C24" s="120"/>
      <c r="D24" s="118"/>
    </row>
    <row r="25" spans="1:4" ht="16.5">
      <c r="A25" s="123" t="s">
        <v>179</v>
      </c>
      <c r="B25" s="128"/>
      <c r="C25" s="120"/>
      <c r="D25" s="118"/>
    </row>
    <row r="26" spans="1:4" ht="16.5">
      <c r="A26" s="123" t="s">
        <v>180</v>
      </c>
      <c r="B26" s="128"/>
      <c r="C26" s="120"/>
      <c r="D26" s="118"/>
    </row>
    <row r="27" spans="1:4" ht="16.5">
      <c r="A27" s="123" t="s">
        <v>181</v>
      </c>
      <c r="B27" s="128"/>
      <c r="C27" s="120"/>
      <c r="D27" s="118"/>
    </row>
    <row r="28" spans="1:4" ht="16.5">
      <c r="A28" s="123" t="s">
        <v>182</v>
      </c>
      <c r="B28" s="128"/>
      <c r="C28" s="120"/>
      <c r="D28" s="118"/>
    </row>
    <row r="29" spans="1:4" ht="16.5">
      <c r="A29" s="124" t="s">
        <v>183</v>
      </c>
      <c r="B29" s="129"/>
      <c r="C29" s="121"/>
      <c r="D29" s="118"/>
    </row>
    <row r="55" ht="17.25">
      <c r="A55" s="135" t="s">
        <v>184</v>
      </c>
    </row>
    <row r="76" spans="1:8" ht="13.5">
      <c r="A76" s="2" t="s">
        <v>137</v>
      </c>
      <c r="G76" s="316" t="s">
        <v>138</v>
      </c>
      <c r="H76" s="317"/>
    </row>
    <row r="77" spans="1:5" ht="16.5">
      <c r="A77" s="122" t="s">
        <v>185</v>
      </c>
      <c r="B77" s="127"/>
      <c r="C77" s="127"/>
      <c r="D77" s="127"/>
      <c r="E77" s="119"/>
    </row>
    <row r="78" spans="1:5" ht="16.5">
      <c r="A78" s="123" t="s">
        <v>186</v>
      </c>
      <c r="B78" s="128"/>
      <c r="C78" s="128"/>
      <c r="D78" s="128"/>
      <c r="E78" s="120"/>
    </row>
    <row r="79" spans="1:5" ht="16.5">
      <c r="A79" s="123" t="s">
        <v>187</v>
      </c>
      <c r="B79" s="128"/>
      <c r="C79" s="128"/>
      <c r="D79" s="128"/>
      <c r="E79" s="120"/>
    </row>
    <row r="80" spans="1:5" ht="16.5">
      <c r="A80" s="123" t="s">
        <v>188</v>
      </c>
      <c r="B80" s="128"/>
      <c r="C80" s="128"/>
      <c r="D80" s="128"/>
      <c r="E80" s="120"/>
    </row>
    <row r="81" spans="1:5" ht="16.5">
      <c r="A81" s="123" t="s">
        <v>189</v>
      </c>
      <c r="B81" s="128"/>
      <c r="C81" s="128"/>
      <c r="D81" s="128"/>
      <c r="E81" s="120"/>
    </row>
    <row r="82" spans="1:5" ht="16.5">
      <c r="A82" s="123" t="s">
        <v>190</v>
      </c>
      <c r="B82" s="128"/>
      <c r="C82" s="128"/>
      <c r="D82" s="128"/>
      <c r="E82" s="120"/>
    </row>
    <row r="83" spans="1:5" ht="16.5">
      <c r="A83" s="123" t="s">
        <v>191</v>
      </c>
      <c r="B83" s="128"/>
      <c r="C83" s="128"/>
      <c r="D83" s="128"/>
      <c r="E83" s="120"/>
    </row>
    <row r="84" spans="1:5" ht="16.5">
      <c r="A84" s="123" t="s">
        <v>192</v>
      </c>
      <c r="B84" s="128"/>
      <c r="C84" s="128"/>
      <c r="D84" s="128"/>
      <c r="E84" s="120"/>
    </row>
    <row r="85" spans="1:5" ht="17.25">
      <c r="A85" s="123" t="s">
        <v>193</v>
      </c>
      <c r="B85" s="128"/>
      <c r="C85" s="128"/>
      <c r="D85" s="128"/>
      <c r="E85" s="120"/>
    </row>
    <row r="86" spans="1:5" ht="17.25">
      <c r="A86" s="123" t="s">
        <v>194</v>
      </c>
      <c r="B86" s="128"/>
      <c r="C86" s="128"/>
      <c r="D86" s="128"/>
      <c r="E86" s="120"/>
    </row>
    <row r="87" spans="1:5" ht="17.25">
      <c r="A87" s="123" t="s">
        <v>195</v>
      </c>
      <c r="B87" s="128"/>
      <c r="C87" s="128"/>
      <c r="D87" s="128"/>
      <c r="E87" s="120"/>
    </row>
    <row r="88" spans="1:5" ht="17.25">
      <c r="A88" s="123" t="s">
        <v>196</v>
      </c>
      <c r="B88" s="128"/>
      <c r="C88" s="128"/>
      <c r="D88" s="128"/>
      <c r="E88" s="120"/>
    </row>
    <row r="89" spans="1:5" ht="17.25">
      <c r="A89" s="123" t="s">
        <v>197</v>
      </c>
      <c r="B89" s="128"/>
      <c r="C89" s="128"/>
      <c r="D89" s="128"/>
      <c r="E89" s="120"/>
    </row>
    <row r="90" spans="1:5" ht="17.25">
      <c r="A90" s="123" t="s">
        <v>198</v>
      </c>
      <c r="B90" s="128"/>
      <c r="C90" s="128"/>
      <c r="D90" s="128"/>
      <c r="E90" s="120"/>
    </row>
    <row r="91" spans="1:5" ht="17.25">
      <c r="A91" s="123" t="s">
        <v>199</v>
      </c>
      <c r="B91" s="128"/>
      <c r="C91" s="128"/>
      <c r="D91" s="128"/>
      <c r="E91" s="120"/>
    </row>
    <row r="92" spans="1:5" ht="17.25">
      <c r="A92" s="123" t="s">
        <v>200</v>
      </c>
      <c r="B92" s="128"/>
      <c r="C92" s="128"/>
      <c r="D92" s="128"/>
      <c r="E92" s="120"/>
    </row>
    <row r="93" spans="1:5" ht="17.25">
      <c r="A93" s="123" t="s">
        <v>201</v>
      </c>
      <c r="B93" s="128"/>
      <c r="C93" s="128"/>
      <c r="D93" s="128"/>
      <c r="E93" s="120"/>
    </row>
    <row r="94" spans="1:5" ht="17.25">
      <c r="A94" s="123" t="s">
        <v>202</v>
      </c>
      <c r="B94" s="128"/>
      <c r="C94" s="128"/>
      <c r="D94" s="128"/>
      <c r="E94" s="120"/>
    </row>
    <row r="95" spans="1:5" ht="17.25">
      <c r="A95" s="123" t="s">
        <v>203</v>
      </c>
      <c r="B95" s="128"/>
      <c r="C95" s="128"/>
      <c r="D95" s="128"/>
      <c r="E95" s="120"/>
    </row>
    <row r="96" spans="1:5" ht="17.25">
      <c r="A96" s="124" t="s">
        <v>204</v>
      </c>
      <c r="B96" s="129"/>
      <c r="C96" s="129"/>
      <c r="D96" s="129"/>
      <c r="E96" s="121"/>
    </row>
  </sheetData>
  <mergeCells count="2">
    <mergeCell ref="G21:H21"/>
    <mergeCell ref="G76:H7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D1" sqref="D1"/>
    </sheetView>
  </sheetViews>
  <sheetFormatPr defaultColWidth="9.00390625" defaultRowHeight="13.5"/>
  <cols>
    <col min="1" max="1" width="9.00390625" style="176" customWidth="1"/>
    <col min="2" max="9" width="7.625" style="176" customWidth="1"/>
    <col min="10" max="16384" width="9.00390625" style="176" customWidth="1"/>
  </cols>
  <sheetData>
    <row r="1" ht="17.25">
      <c r="A1" s="135" t="s">
        <v>29</v>
      </c>
    </row>
    <row r="2" ht="13.5">
      <c r="A2" s="1"/>
    </row>
    <row r="3" ht="13.5">
      <c r="A3" s="3" t="s">
        <v>36</v>
      </c>
    </row>
    <row r="4" ht="13.5">
      <c r="A4" s="273" t="s">
        <v>385</v>
      </c>
    </row>
    <row r="5" ht="13.5">
      <c r="A5" s="273" t="s">
        <v>386</v>
      </c>
    </row>
    <row r="7" ht="13.5">
      <c r="A7" s="176" t="s">
        <v>6</v>
      </c>
    </row>
    <row r="9" spans="2:7" ht="13.5">
      <c r="B9" s="301">
        <v>3</v>
      </c>
      <c r="C9" s="302">
        <v>1</v>
      </c>
      <c r="D9" s="319" t="s">
        <v>307</v>
      </c>
      <c r="E9" s="241" t="s">
        <v>387</v>
      </c>
      <c r="F9" s="319" t="s">
        <v>309</v>
      </c>
      <c r="G9" s="241">
        <v>7</v>
      </c>
    </row>
    <row r="10" spans="2:7" ht="13.5">
      <c r="B10" s="301">
        <v>1</v>
      </c>
      <c r="C10" s="302">
        <v>-4</v>
      </c>
      <c r="D10" s="319"/>
      <c r="E10" s="241" t="s">
        <v>388</v>
      </c>
      <c r="F10" s="319"/>
      <c r="G10" s="241">
        <v>-2</v>
      </c>
    </row>
    <row r="13" spans="1:2" ht="13.5">
      <c r="A13" s="176" t="s">
        <v>7</v>
      </c>
      <c r="B13" s="193">
        <f>(B9*C10)-(C9*B10)</f>
        <v>-13</v>
      </c>
    </row>
    <row r="15" ht="13.5">
      <c r="A15" s="176" t="s">
        <v>8</v>
      </c>
    </row>
    <row r="16" ht="13.5">
      <c r="A16" s="176" t="s">
        <v>91</v>
      </c>
    </row>
    <row r="17" spans="1:3" ht="13.5">
      <c r="A17" s="250" t="s">
        <v>389</v>
      </c>
      <c r="B17" s="250">
        <v>1</v>
      </c>
      <c r="C17" s="250">
        <v>2</v>
      </c>
    </row>
    <row r="18" spans="1:3" ht="13.5">
      <c r="A18" s="250">
        <v>1</v>
      </c>
      <c r="B18" s="301">
        <f>C10</f>
        <v>-4</v>
      </c>
      <c r="C18" s="302">
        <f>B10</f>
        <v>1</v>
      </c>
    </row>
    <row r="19" spans="1:3" ht="13.5">
      <c r="A19" s="250">
        <v>2</v>
      </c>
      <c r="B19" s="301">
        <f>C9</f>
        <v>1</v>
      </c>
      <c r="C19" s="302">
        <f>B9</f>
        <v>3</v>
      </c>
    </row>
    <row r="20" ht="13.5">
      <c r="A20" s="176" t="s">
        <v>390</v>
      </c>
    </row>
    <row r="21" spans="1:6" ht="13.5">
      <c r="A21" s="250"/>
      <c r="B21" s="301" t="s">
        <v>391</v>
      </c>
      <c r="C21" s="302" t="s">
        <v>392</v>
      </c>
      <c r="F21" s="176" t="s">
        <v>393</v>
      </c>
    </row>
    <row r="22" spans="1:6" ht="13.5">
      <c r="A22" s="250"/>
      <c r="B22" s="301" t="s">
        <v>394</v>
      </c>
      <c r="C22" s="302" t="s">
        <v>395</v>
      </c>
      <c r="F22" s="176" t="s">
        <v>396</v>
      </c>
    </row>
    <row r="23" ht="13.5">
      <c r="A23" s="176" t="s">
        <v>14</v>
      </c>
    </row>
    <row r="24" spans="2:3" ht="13.5">
      <c r="B24" s="301">
        <f>B18*(-1)^($A$18+B17)</f>
        <v>-4</v>
      </c>
      <c r="C24" s="302">
        <f>C18*(-1)^($A$18+C17)</f>
        <v>-1</v>
      </c>
    </row>
    <row r="25" spans="2:3" ht="13.5">
      <c r="B25" s="301">
        <f>B19*(-1)^($A$19+B17)</f>
        <v>-1</v>
      </c>
      <c r="C25" s="302">
        <f>C19*(-1)^($A$19+C17)</f>
        <v>3</v>
      </c>
    </row>
    <row r="27" ht="13.5">
      <c r="A27" s="176" t="s">
        <v>9</v>
      </c>
    </row>
    <row r="29" spans="2:5" ht="13.5">
      <c r="B29" s="299">
        <f>B24</f>
        <v>-4</v>
      </c>
      <c r="C29" s="300">
        <f>B25</f>
        <v>-1</v>
      </c>
      <c r="D29" s="243" t="s">
        <v>10</v>
      </c>
      <c r="E29" s="176" t="s">
        <v>11</v>
      </c>
    </row>
    <row r="30" spans="2:5" ht="13.5">
      <c r="B30" s="299">
        <f>C24</f>
        <v>-1</v>
      </c>
      <c r="C30" s="300">
        <f>C25</f>
        <v>3</v>
      </c>
      <c r="E30" s="176" t="s">
        <v>92</v>
      </c>
    </row>
    <row r="31" ht="13.5">
      <c r="E31" s="176" t="s">
        <v>93</v>
      </c>
    </row>
    <row r="32" ht="13.5">
      <c r="E32" s="176" t="s">
        <v>12</v>
      </c>
    </row>
    <row r="34" spans="2:9" ht="13.5">
      <c r="B34" s="241" t="s">
        <v>397</v>
      </c>
      <c r="C34" s="323" t="s">
        <v>315</v>
      </c>
      <c r="D34" s="324">
        <f>1/B13</f>
        <v>-0.07692307692307693</v>
      </c>
      <c r="E34" s="319" t="s">
        <v>313</v>
      </c>
      <c r="F34" s="301">
        <f>B29</f>
        <v>-4</v>
      </c>
      <c r="G34" s="302">
        <f>C29</f>
        <v>-1</v>
      </c>
      <c r="H34" s="319" t="s">
        <v>313</v>
      </c>
      <c r="I34" s="241">
        <f>G9</f>
        <v>7</v>
      </c>
    </row>
    <row r="35" spans="2:9" ht="13.5">
      <c r="B35" s="241" t="s">
        <v>398</v>
      </c>
      <c r="C35" s="323"/>
      <c r="D35" s="324"/>
      <c r="E35" s="320"/>
      <c r="F35" s="301">
        <f>B30</f>
        <v>-1</v>
      </c>
      <c r="G35" s="302">
        <f>C30</f>
        <v>3</v>
      </c>
      <c r="H35" s="320"/>
      <c r="I35" s="241">
        <f>G10</f>
        <v>-2</v>
      </c>
    </row>
    <row r="36" ht="13.5">
      <c r="D36" s="250" t="s">
        <v>350</v>
      </c>
    </row>
    <row r="37" ht="13.5">
      <c r="D37" s="308" t="str">
        <f>"1/("&amp;B13&amp;")"</f>
        <v>1/(-13)</v>
      </c>
    </row>
    <row r="39" spans="2:3" ht="13.5">
      <c r="B39" s="253" t="s">
        <v>399</v>
      </c>
      <c r="C39" s="309">
        <f>(F34*I34+G34*I35)*D34</f>
        <v>2</v>
      </c>
    </row>
    <row r="40" spans="2:3" ht="13.5">
      <c r="B40" s="255" t="s">
        <v>400</v>
      </c>
      <c r="C40" s="310">
        <f>(F35*I34+G35*I35)*D34</f>
        <v>1</v>
      </c>
    </row>
    <row r="43" ht="13.5">
      <c r="A43" s="3" t="s">
        <v>37</v>
      </c>
    </row>
    <row r="44" spans="1:2" ht="13.5">
      <c r="A44" s="311" t="s">
        <v>401</v>
      </c>
      <c r="B44" s="273"/>
    </row>
    <row r="45" spans="1:2" ht="13.5">
      <c r="A45" s="311" t="s">
        <v>402</v>
      </c>
      <c r="B45" s="273"/>
    </row>
    <row r="46" spans="1:2" ht="13.5">
      <c r="A46" s="311" t="s">
        <v>403</v>
      </c>
      <c r="B46" s="273"/>
    </row>
    <row r="48" ht="13.5">
      <c r="A48" s="176" t="s">
        <v>6</v>
      </c>
    </row>
    <row r="50" spans="2:8" ht="13.5">
      <c r="B50" s="301">
        <v>4</v>
      </c>
      <c r="C50" s="312">
        <v>-1</v>
      </c>
      <c r="D50" s="302">
        <v>2</v>
      </c>
      <c r="E50" s="319" t="s">
        <v>307</v>
      </c>
      <c r="F50" s="241" t="s">
        <v>387</v>
      </c>
      <c r="G50" s="319" t="s">
        <v>309</v>
      </c>
      <c r="H50" s="241">
        <v>15</v>
      </c>
    </row>
    <row r="51" spans="2:8" ht="13.5">
      <c r="B51" s="301">
        <v>-1</v>
      </c>
      <c r="C51" s="312">
        <v>2</v>
      </c>
      <c r="D51" s="302">
        <v>3</v>
      </c>
      <c r="E51" s="319"/>
      <c r="F51" s="241" t="s">
        <v>388</v>
      </c>
      <c r="G51" s="321"/>
      <c r="H51" s="241">
        <v>5</v>
      </c>
    </row>
    <row r="52" spans="2:8" ht="13.5">
      <c r="B52" s="301">
        <v>5</v>
      </c>
      <c r="C52" s="312">
        <v>-7</v>
      </c>
      <c r="D52" s="302">
        <v>9</v>
      </c>
      <c r="E52" s="319"/>
      <c r="F52" s="241" t="s">
        <v>404</v>
      </c>
      <c r="G52" s="321"/>
      <c r="H52" s="241">
        <v>8</v>
      </c>
    </row>
    <row r="55" spans="1:2" ht="13.5">
      <c r="A55" s="176" t="s">
        <v>7</v>
      </c>
      <c r="B55" s="193">
        <f>(B50*C51*D52+B51*C52*D50+B52*D51*C50)-(D50*C51*B52+D51*C52*B50+D52*B51*C50)</f>
        <v>126</v>
      </c>
    </row>
    <row r="57" ht="13.5">
      <c r="A57" s="176" t="s">
        <v>8</v>
      </c>
    </row>
    <row r="58" ht="13.5">
      <c r="A58" s="176" t="s">
        <v>91</v>
      </c>
    </row>
    <row r="59" spans="1:4" ht="13.5">
      <c r="A59" s="250" t="s">
        <v>389</v>
      </c>
      <c r="B59" s="250">
        <v>1</v>
      </c>
      <c r="C59" s="250">
        <v>2</v>
      </c>
      <c r="D59" s="250">
        <v>3</v>
      </c>
    </row>
    <row r="60" spans="1:4" ht="13.5">
      <c r="A60" s="250">
        <v>1</v>
      </c>
      <c r="B60" s="301">
        <f>(C51*D52)-(D51*C52)</f>
        <v>39</v>
      </c>
      <c r="C60" s="312">
        <f>(B51*D52)-(D51*B52)</f>
        <v>-24</v>
      </c>
      <c r="D60" s="302">
        <f>(B51*C52)-(C51*B52)</f>
        <v>-3</v>
      </c>
    </row>
    <row r="61" spans="1:4" ht="13.5">
      <c r="A61" s="250">
        <v>2</v>
      </c>
      <c r="B61" s="301">
        <f>(C50*D52)-(D50*C52)</f>
        <v>5</v>
      </c>
      <c r="C61" s="312">
        <f>(B50*D52)-(D50*B52)</f>
        <v>26</v>
      </c>
      <c r="D61" s="302">
        <f>(B50*C52)-(C50*B52)</f>
        <v>-23</v>
      </c>
    </row>
    <row r="62" spans="1:4" ht="13.5">
      <c r="A62" s="250">
        <v>3</v>
      </c>
      <c r="B62" s="301">
        <f>(C50*D51)-(D50*C51)</f>
        <v>-7</v>
      </c>
      <c r="C62" s="312">
        <f>(B50*D51)-(D50*B51)</f>
        <v>14</v>
      </c>
      <c r="D62" s="302">
        <f>(B50*C51)-(C50*B51)</f>
        <v>7</v>
      </c>
    </row>
    <row r="63" ht="13.5">
      <c r="A63" s="176" t="s">
        <v>390</v>
      </c>
    </row>
    <row r="64" spans="2:7" ht="13.5">
      <c r="B64" s="301" t="s">
        <v>391</v>
      </c>
      <c r="C64" s="312" t="s">
        <v>392</v>
      </c>
      <c r="D64" s="302" t="s">
        <v>391</v>
      </c>
      <c r="G64" s="176" t="s">
        <v>393</v>
      </c>
    </row>
    <row r="65" spans="2:7" ht="13.5">
      <c r="B65" s="301" t="s">
        <v>394</v>
      </c>
      <c r="C65" s="312" t="s">
        <v>395</v>
      </c>
      <c r="D65" s="302" t="s">
        <v>394</v>
      </c>
      <c r="G65" s="176" t="s">
        <v>396</v>
      </c>
    </row>
    <row r="66" spans="2:4" ht="13.5">
      <c r="B66" s="301" t="s">
        <v>405</v>
      </c>
      <c r="C66" s="312" t="s">
        <v>406</v>
      </c>
      <c r="D66" s="302" t="s">
        <v>405</v>
      </c>
    </row>
    <row r="67" ht="13.5">
      <c r="A67" s="176" t="s">
        <v>13</v>
      </c>
    </row>
    <row r="68" spans="2:4" ht="13.5">
      <c r="B68" s="301">
        <f>B60*(-1)^($A$60+B59)</f>
        <v>39</v>
      </c>
      <c r="C68" s="312">
        <f>C60*(-1)^($A$60+C59)</f>
        <v>24</v>
      </c>
      <c r="D68" s="302">
        <f>D60*(-1)^($A$60+D59)</f>
        <v>-3</v>
      </c>
    </row>
    <row r="69" spans="2:4" ht="13.5">
      <c r="B69" s="301">
        <f>B61*(-1)^($A$61+B59)</f>
        <v>-5</v>
      </c>
      <c r="C69" s="312">
        <f>C61*(-1)^($A$61+C59)</f>
        <v>26</v>
      </c>
      <c r="D69" s="302">
        <f>D61*(-1)^($A$61+D59)</f>
        <v>23</v>
      </c>
    </row>
    <row r="70" spans="2:4" ht="13.5">
      <c r="B70" s="301">
        <f>B62*(-1)^($A$62+B59)</f>
        <v>-7</v>
      </c>
      <c r="C70" s="312">
        <f>C62*(-1)^($A$62+C59)</f>
        <v>-14</v>
      </c>
      <c r="D70" s="302">
        <f>D62*(-1)^($A$62+D59)</f>
        <v>7</v>
      </c>
    </row>
    <row r="72" ht="13.5">
      <c r="A72" s="176" t="s">
        <v>9</v>
      </c>
    </row>
    <row r="74" spans="2:6" ht="13.5">
      <c r="B74" s="299">
        <f>B68</f>
        <v>39</v>
      </c>
      <c r="C74" s="313">
        <f>B69</f>
        <v>-5</v>
      </c>
      <c r="D74" s="300">
        <f>B70</f>
        <v>-7</v>
      </c>
      <c r="E74" s="243" t="s">
        <v>10</v>
      </c>
      <c r="F74" s="176" t="s">
        <v>11</v>
      </c>
    </row>
    <row r="75" spans="2:6" ht="13.5">
      <c r="B75" s="299">
        <f>C68</f>
        <v>24</v>
      </c>
      <c r="C75" s="313">
        <f>C69</f>
        <v>26</v>
      </c>
      <c r="D75" s="300">
        <f>C70</f>
        <v>-14</v>
      </c>
      <c r="F75" s="176" t="s">
        <v>92</v>
      </c>
    </row>
    <row r="76" spans="2:6" ht="13.5">
      <c r="B76" s="299">
        <f>D68</f>
        <v>-3</v>
      </c>
      <c r="C76" s="313">
        <f>D69</f>
        <v>23</v>
      </c>
      <c r="D76" s="300">
        <f>D70</f>
        <v>7</v>
      </c>
      <c r="F76" s="176" t="s">
        <v>93</v>
      </c>
    </row>
    <row r="77" ht="13.5">
      <c r="F77" s="176" t="s">
        <v>12</v>
      </c>
    </row>
    <row r="79" spans="2:10" ht="13.5">
      <c r="B79" s="241" t="s">
        <v>397</v>
      </c>
      <c r="C79" s="319" t="s">
        <v>315</v>
      </c>
      <c r="D79" s="322">
        <f>1/B55</f>
        <v>0.007936507936507936</v>
      </c>
      <c r="E79" s="318" t="s">
        <v>313</v>
      </c>
      <c r="F79" s="301">
        <f aca="true" t="shared" si="0" ref="F79:H81">B74</f>
        <v>39</v>
      </c>
      <c r="G79" s="312">
        <f t="shared" si="0"/>
        <v>-5</v>
      </c>
      <c r="H79" s="302">
        <f t="shared" si="0"/>
        <v>-7</v>
      </c>
      <c r="I79" s="318" t="s">
        <v>313</v>
      </c>
      <c r="J79" s="241">
        <f>H50</f>
        <v>15</v>
      </c>
    </row>
    <row r="80" spans="2:10" ht="13.5">
      <c r="B80" s="241" t="s">
        <v>398</v>
      </c>
      <c r="C80" s="321"/>
      <c r="D80" s="322"/>
      <c r="E80" s="318"/>
      <c r="F80" s="301">
        <f t="shared" si="0"/>
        <v>24</v>
      </c>
      <c r="G80" s="312">
        <f t="shared" si="0"/>
        <v>26</v>
      </c>
      <c r="H80" s="302">
        <f t="shared" si="0"/>
        <v>-14</v>
      </c>
      <c r="I80" s="318"/>
      <c r="J80" s="241">
        <f>H51</f>
        <v>5</v>
      </c>
    </row>
    <row r="81" spans="2:10" ht="13.5">
      <c r="B81" s="241" t="s">
        <v>407</v>
      </c>
      <c r="C81" s="321"/>
      <c r="D81" s="322"/>
      <c r="E81" s="318"/>
      <c r="F81" s="301">
        <f t="shared" si="0"/>
        <v>-3</v>
      </c>
      <c r="G81" s="312">
        <f t="shared" si="0"/>
        <v>23</v>
      </c>
      <c r="H81" s="302">
        <f t="shared" si="0"/>
        <v>7</v>
      </c>
      <c r="I81" s="318"/>
      <c r="J81" s="241">
        <f>H52</f>
        <v>8</v>
      </c>
    </row>
    <row r="82" ht="13.5">
      <c r="D82" s="250" t="s">
        <v>350</v>
      </c>
    </row>
    <row r="83" ht="13.5">
      <c r="D83" s="308" t="str">
        <f>"1/("&amp;B55&amp;")"</f>
        <v>1/(126)</v>
      </c>
    </row>
    <row r="85" spans="2:3" ht="13.5">
      <c r="B85" s="253" t="s">
        <v>399</v>
      </c>
      <c r="C85" s="309">
        <f>(F79*J79+G79*J80+H79*J81)*D79</f>
        <v>4</v>
      </c>
    </row>
    <row r="86" spans="2:3" ht="13.5">
      <c r="B86" s="314" t="s">
        <v>400</v>
      </c>
      <c r="C86" s="315">
        <f>(F80*J79+G80*J80+H80*J81)*D79</f>
        <v>3</v>
      </c>
    </row>
    <row r="87" spans="2:3" ht="13.5">
      <c r="B87" s="255" t="s">
        <v>408</v>
      </c>
      <c r="C87" s="310">
        <f>(F81*J79+G81*J80+H81*J81)*D79</f>
        <v>1</v>
      </c>
    </row>
  </sheetData>
  <mergeCells count="12">
    <mergeCell ref="C79:C81"/>
    <mergeCell ref="D79:D81"/>
    <mergeCell ref="E79:E81"/>
    <mergeCell ref="F9:F10"/>
    <mergeCell ref="D9:D10"/>
    <mergeCell ref="C34:C35"/>
    <mergeCell ref="D34:D35"/>
    <mergeCell ref="E34:E35"/>
    <mergeCell ref="I79:I81"/>
    <mergeCell ref="H34:H35"/>
    <mergeCell ref="E50:E52"/>
    <mergeCell ref="G50:G52"/>
  </mergeCells>
  <printOptions/>
  <pageMargins left="0.75" right="0.75" top="1" bottom="1" header="0.512" footer="0.512"/>
  <pageSetup horizontalDpi="600" verticalDpi="600" orientation="portrait" paperSize="9" r:id="rId4"/>
  <legacyDrawing r:id="rId3"/>
  <oleObjects>
    <oleObject progId="Equation.3" shapeId="115575" r:id="rId1"/>
    <oleObject progId="Equation.3" shapeId="11557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D1" sqref="D1"/>
    </sheetView>
  </sheetViews>
  <sheetFormatPr defaultColWidth="9.00390625" defaultRowHeight="13.5"/>
  <cols>
    <col min="1" max="9" width="7.625" style="2" customWidth="1"/>
    <col min="10" max="16384" width="9.00390625" style="2" customWidth="1"/>
  </cols>
  <sheetData>
    <row r="1" ht="17.25">
      <c r="A1" s="135" t="s">
        <v>30</v>
      </c>
    </row>
    <row r="3" ht="13.5">
      <c r="A3" s="3" t="s">
        <v>36</v>
      </c>
    </row>
    <row r="4" ht="13.5">
      <c r="A4" s="70" t="s">
        <v>38</v>
      </c>
    </row>
    <row r="5" ht="13.5">
      <c r="A5" s="70" t="s">
        <v>39</v>
      </c>
    </row>
    <row r="7" ht="13.5">
      <c r="A7" s="2" t="s">
        <v>6</v>
      </c>
    </row>
    <row r="9" spans="2:9" ht="13.5">
      <c r="B9" s="71">
        <v>3</v>
      </c>
      <c r="C9" s="72">
        <v>1</v>
      </c>
      <c r="D9" s="325" t="s">
        <v>40</v>
      </c>
      <c r="E9" s="74" t="s">
        <v>41</v>
      </c>
      <c r="F9" s="326" t="s">
        <v>42</v>
      </c>
      <c r="G9" s="74">
        <v>7</v>
      </c>
      <c r="H9" s="50" t="s">
        <v>43</v>
      </c>
      <c r="I9" s="2" t="s">
        <v>15</v>
      </c>
    </row>
    <row r="10" spans="2:9" ht="13.5">
      <c r="B10" s="71">
        <v>1</v>
      </c>
      <c r="C10" s="72">
        <v>-4</v>
      </c>
      <c r="D10" s="325"/>
      <c r="E10" s="74" t="s">
        <v>44</v>
      </c>
      <c r="F10" s="326"/>
      <c r="G10" s="74">
        <v>-2</v>
      </c>
      <c r="H10" s="50" t="s">
        <v>45</v>
      </c>
      <c r="I10" s="2" t="s">
        <v>16</v>
      </c>
    </row>
    <row r="11" spans="2:7" ht="13.5">
      <c r="B11" s="85"/>
      <c r="C11" s="85"/>
      <c r="D11" s="86"/>
      <c r="E11" s="87"/>
      <c r="F11" s="86"/>
      <c r="G11" s="50"/>
    </row>
    <row r="12" ht="13.5">
      <c r="A12" s="2" t="s">
        <v>94</v>
      </c>
    </row>
    <row r="13" spans="1:5" ht="13.5">
      <c r="A13" s="2" t="s">
        <v>77</v>
      </c>
      <c r="E13" s="88">
        <f>B10/B9</f>
        <v>0.3333333333333333</v>
      </c>
    </row>
    <row r="14" spans="2:7" ht="13.5" customHeight="1">
      <c r="B14" s="71">
        <f>B9</f>
        <v>3</v>
      </c>
      <c r="C14" s="72">
        <f>C9</f>
        <v>1</v>
      </c>
      <c r="D14" s="325" t="s">
        <v>46</v>
      </c>
      <c r="E14" s="74" t="s">
        <v>47</v>
      </c>
      <c r="F14" s="326" t="s">
        <v>48</v>
      </c>
      <c r="G14" s="74">
        <f>G9</f>
        <v>7</v>
      </c>
    </row>
    <row r="15" spans="2:9" ht="13.5" customHeight="1">
      <c r="B15" s="71">
        <f>B10-E13*B9</f>
        <v>0</v>
      </c>
      <c r="C15" s="72">
        <f>C10-E13*C9</f>
        <v>-4.333333333333333</v>
      </c>
      <c r="D15" s="325"/>
      <c r="E15" s="74" t="s">
        <v>44</v>
      </c>
      <c r="F15" s="326"/>
      <c r="G15" s="74">
        <f>G10-E13*G9</f>
        <v>-4.333333333333333</v>
      </c>
      <c r="H15" s="50" t="s">
        <v>10</v>
      </c>
      <c r="I15" s="89" t="s">
        <v>49</v>
      </c>
    </row>
    <row r="16" ht="13.5" customHeight="1">
      <c r="C16" s="2" t="s">
        <v>50</v>
      </c>
    </row>
    <row r="17" spans="3:9" ht="13.5" customHeight="1">
      <c r="C17" s="89" t="s">
        <v>95</v>
      </c>
      <c r="E17" s="90" t="s">
        <v>96</v>
      </c>
      <c r="F17" s="91" t="s">
        <v>97</v>
      </c>
      <c r="G17" s="92">
        <f>G15/C15</f>
        <v>1</v>
      </c>
      <c r="H17" s="50" t="s">
        <v>10</v>
      </c>
      <c r="I17" s="89" t="s">
        <v>98</v>
      </c>
    </row>
    <row r="18" ht="13.5" customHeight="1"/>
    <row r="19" spans="2:7" ht="13.5" customHeight="1">
      <c r="B19" s="71">
        <f>B14</f>
        <v>3</v>
      </c>
      <c r="C19" s="72">
        <f>C14</f>
        <v>1</v>
      </c>
      <c r="D19" s="93" t="s">
        <v>99</v>
      </c>
      <c r="E19" s="74" t="s">
        <v>100</v>
      </c>
      <c r="F19" s="87" t="s">
        <v>101</v>
      </c>
      <c r="G19" s="74">
        <f>G14</f>
        <v>7</v>
      </c>
    </row>
    <row r="20" ht="13.5" customHeight="1">
      <c r="E20" s="74" t="s">
        <v>102</v>
      </c>
    </row>
    <row r="21" ht="13.5" customHeight="1"/>
    <row r="22" spans="5:9" ht="13.5" customHeight="1">
      <c r="E22" s="90" t="s">
        <v>100</v>
      </c>
      <c r="F22" s="91" t="s">
        <v>101</v>
      </c>
      <c r="G22" s="94">
        <f>(G19-C19*G17)/B19</f>
        <v>2</v>
      </c>
      <c r="H22" s="50" t="s">
        <v>10</v>
      </c>
      <c r="I22" s="89" t="s">
        <v>103</v>
      </c>
    </row>
    <row r="23" ht="13.5" customHeight="1"/>
    <row r="24" spans="5:6" ht="13.5" customHeight="1">
      <c r="E24" s="76" t="s">
        <v>104</v>
      </c>
      <c r="F24" s="77">
        <f>G22</f>
        <v>2</v>
      </c>
    </row>
    <row r="25" spans="5:6" ht="13.5" customHeight="1">
      <c r="E25" s="78" t="s">
        <v>105</v>
      </c>
      <c r="F25" s="79">
        <f>G17</f>
        <v>1</v>
      </c>
    </row>
    <row r="26" ht="13.5" customHeight="1"/>
    <row r="27" ht="13.5" customHeight="1">
      <c r="A27" s="3" t="s">
        <v>37</v>
      </c>
    </row>
    <row r="28" spans="1:2" ht="13.5">
      <c r="A28" s="80" t="s">
        <v>53</v>
      </c>
      <c r="B28" s="70"/>
    </row>
    <row r="29" spans="1:2" ht="13.5">
      <c r="A29" s="80" t="s">
        <v>54</v>
      </c>
      <c r="B29" s="70"/>
    </row>
    <row r="30" spans="1:2" ht="13.5">
      <c r="A30" s="80" t="s">
        <v>55</v>
      </c>
      <c r="B30" s="70"/>
    </row>
    <row r="32" ht="13.5">
      <c r="A32" s="2" t="s">
        <v>6</v>
      </c>
    </row>
    <row r="34" spans="2:10" ht="13.5">
      <c r="B34" s="71">
        <v>4</v>
      </c>
      <c r="C34" s="81">
        <v>-1</v>
      </c>
      <c r="D34" s="72">
        <v>2</v>
      </c>
      <c r="E34" s="325" t="s">
        <v>40</v>
      </c>
      <c r="F34" s="74" t="s">
        <v>41</v>
      </c>
      <c r="G34" s="326" t="s">
        <v>42</v>
      </c>
      <c r="H34" s="74">
        <v>15</v>
      </c>
      <c r="I34" s="50" t="s">
        <v>43</v>
      </c>
      <c r="J34" s="2" t="s">
        <v>15</v>
      </c>
    </row>
    <row r="35" spans="2:10" ht="13.5">
      <c r="B35" s="71">
        <v>-1</v>
      </c>
      <c r="C35" s="81">
        <v>2</v>
      </c>
      <c r="D35" s="72">
        <v>3</v>
      </c>
      <c r="E35" s="325"/>
      <c r="F35" s="74" t="s">
        <v>44</v>
      </c>
      <c r="G35" s="327"/>
      <c r="H35" s="74">
        <v>5</v>
      </c>
      <c r="I35" s="50" t="s">
        <v>45</v>
      </c>
      <c r="J35" s="2" t="s">
        <v>16</v>
      </c>
    </row>
    <row r="36" spans="2:10" ht="13.5">
      <c r="B36" s="71">
        <v>5</v>
      </c>
      <c r="C36" s="81">
        <v>-7</v>
      </c>
      <c r="D36" s="72">
        <v>9</v>
      </c>
      <c r="E36" s="325"/>
      <c r="F36" s="74" t="s">
        <v>56</v>
      </c>
      <c r="G36" s="327"/>
      <c r="H36" s="74">
        <v>8</v>
      </c>
      <c r="I36" s="50" t="s">
        <v>45</v>
      </c>
      <c r="J36" s="2" t="s">
        <v>17</v>
      </c>
    </row>
    <row r="38" ht="13.5">
      <c r="A38" s="2" t="s">
        <v>106</v>
      </c>
    </row>
    <row r="39" spans="1:5" ht="13.5">
      <c r="A39" s="2" t="s">
        <v>77</v>
      </c>
      <c r="E39" s="88">
        <f>B35/B34</f>
        <v>-0.25</v>
      </c>
    </row>
    <row r="40" spans="1:5" ht="13.5">
      <c r="A40" s="2" t="s">
        <v>78</v>
      </c>
      <c r="E40" s="88">
        <f>B36/B34</f>
        <v>1.25</v>
      </c>
    </row>
    <row r="41" spans="2:8" ht="13.5">
      <c r="B41" s="71">
        <f>B34</f>
        <v>4</v>
      </c>
      <c r="C41" s="81">
        <f>C34</f>
        <v>-1</v>
      </c>
      <c r="D41" s="72">
        <f>D34</f>
        <v>2</v>
      </c>
      <c r="E41" s="325" t="s">
        <v>46</v>
      </c>
      <c r="F41" s="74" t="s">
        <v>47</v>
      </c>
      <c r="G41" s="326" t="s">
        <v>48</v>
      </c>
      <c r="H41" s="74">
        <f>H34</f>
        <v>15</v>
      </c>
    </row>
    <row r="42" spans="2:8" ht="13.5">
      <c r="B42" s="71">
        <f>B35-E39*B34</f>
        <v>0</v>
      </c>
      <c r="C42" s="81">
        <f>C35-E39*C34</f>
        <v>1.75</v>
      </c>
      <c r="D42" s="72">
        <f>D35-E39*D34</f>
        <v>3.5</v>
      </c>
      <c r="E42" s="325"/>
      <c r="F42" s="74" t="s">
        <v>44</v>
      </c>
      <c r="G42" s="327"/>
      <c r="H42" s="74">
        <f>H35-E39*H34</f>
        <v>8.75</v>
      </c>
    </row>
    <row r="43" spans="2:8" ht="13.5">
      <c r="B43" s="71">
        <f>B36-E40*B34</f>
        <v>0</v>
      </c>
      <c r="C43" s="81">
        <f>C36-E40*C34</f>
        <v>-5.75</v>
      </c>
      <c r="D43" s="72">
        <f>D36-E40*D34</f>
        <v>6.5</v>
      </c>
      <c r="E43" s="325"/>
      <c r="F43" s="74" t="s">
        <v>56</v>
      </c>
      <c r="G43" s="327"/>
      <c r="H43" s="74">
        <f>H36-E40*H34</f>
        <v>-10.75</v>
      </c>
    </row>
    <row r="45" ht="13.5">
      <c r="A45" s="2" t="s">
        <v>107</v>
      </c>
    </row>
    <row r="46" spans="1:5" ht="13.5">
      <c r="A46" s="2" t="s">
        <v>79</v>
      </c>
      <c r="E46" s="88">
        <f>C43/C42</f>
        <v>-3.2857142857142856</v>
      </c>
    </row>
    <row r="47" spans="2:8" ht="13.5">
      <c r="B47" s="71">
        <f aca="true" t="shared" si="0" ref="B47:D48">B41</f>
        <v>4</v>
      </c>
      <c r="C47" s="81">
        <f t="shared" si="0"/>
        <v>-1</v>
      </c>
      <c r="D47" s="72">
        <f t="shared" si="0"/>
        <v>2</v>
      </c>
      <c r="E47" s="325" t="s">
        <v>46</v>
      </c>
      <c r="F47" s="74" t="s">
        <v>47</v>
      </c>
      <c r="G47" s="326" t="s">
        <v>48</v>
      </c>
      <c r="H47" s="74">
        <f>H41</f>
        <v>15</v>
      </c>
    </row>
    <row r="48" spans="2:8" ht="13.5">
      <c r="B48" s="71">
        <f t="shared" si="0"/>
        <v>0</v>
      </c>
      <c r="C48" s="81">
        <f t="shared" si="0"/>
        <v>1.75</v>
      </c>
      <c r="D48" s="72">
        <f t="shared" si="0"/>
        <v>3.5</v>
      </c>
      <c r="E48" s="325"/>
      <c r="F48" s="74" t="s">
        <v>44</v>
      </c>
      <c r="G48" s="327"/>
      <c r="H48" s="74">
        <f>H42</f>
        <v>8.75</v>
      </c>
    </row>
    <row r="49" spans="2:8" ht="13.5">
      <c r="B49" s="71">
        <v>0</v>
      </c>
      <c r="C49" s="81">
        <f>C43-E46*C42</f>
        <v>0</v>
      </c>
      <c r="D49" s="81">
        <f>D43-E46*D42</f>
        <v>18</v>
      </c>
      <c r="E49" s="325"/>
      <c r="F49" s="74" t="s">
        <v>56</v>
      </c>
      <c r="G49" s="327"/>
      <c r="H49" s="74">
        <f>H43-E46*H42</f>
        <v>18</v>
      </c>
    </row>
    <row r="51" spans="6:8" ht="13.5">
      <c r="F51" s="90" t="s">
        <v>56</v>
      </c>
      <c r="G51" s="91" t="s">
        <v>48</v>
      </c>
      <c r="H51" s="92">
        <f>H49/D49</f>
        <v>1</v>
      </c>
    </row>
    <row r="53" spans="2:8" ht="13.5">
      <c r="B53" s="95"/>
      <c r="C53" s="81">
        <f>C48</f>
        <v>1.75</v>
      </c>
      <c r="D53" s="72">
        <f>D48</f>
        <v>3.5</v>
      </c>
      <c r="E53" s="93" t="s">
        <v>46</v>
      </c>
      <c r="F53" s="74" t="s">
        <v>44</v>
      </c>
      <c r="G53" s="87" t="s">
        <v>48</v>
      </c>
      <c r="H53" s="74">
        <f>H48</f>
        <v>8.75</v>
      </c>
    </row>
    <row r="54" spans="6:8" ht="13.5">
      <c r="F54" s="74" t="s">
        <v>56</v>
      </c>
      <c r="H54" s="85"/>
    </row>
    <row r="56" spans="6:8" ht="13.5">
      <c r="F56" s="90" t="s">
        <v>44</v>
      </c>
      <c r="G56" s="91" t="s">
        <v>48</v>
      </c>
      <c r="H56" s="94">
        <f>(H53-D53*H51)/C53</f>
        <v>3</v>
      </c>
    </row>
    <row r="58" spans="2:8" ht="13.5">
      <c r="B58" s="71">
        <f>B47</f>
        <v>4</v>
      </c>
      <c r="C58" s="81">
        <f>C47</f>
        <v>-1</v>
      </c>
      <c r="D58" s="72">
        <f>D47</f>
        <v>2</v>
      </c>
      <c r="E58" s="84" t="s">
        <v>46</v>
      </c>
      <c r="F58" s="74" t="s">
        <v>47</v>
      </c>
      <c r="G58" s="73" t="s">
        <v>48</v>
      </c>
      <c r="H58" s="74">
        <f>H47</f>
        <v>15</v>
      </c>
    </row>
    <row r="59" spans="2:8" ht="13.5">
      <c r="B59" s="85"/>
      <c r="C59" s="85"/>
      <c r="D59" s="85"/>
      <c r="E59" s="96"/>
      <c r="F59" s="74" t="s">
        <v>44</v>
      </c>
      <c r="G59" s="97"/>
      <c r="H59" s="85"/>
    </row>
    <row r="60" spans="2:8" ht="13.5">
      <c r="B60" s="85"/>
      <c r="C60" s="85"/>
      <c r="D60" s="85"/>
      <c r="E60" s="96"/>
      <c r="F60" s="74" t="s">
        <v>56</v>
      </c>
      <c r="G60" s="97"/>
      <c r="H60" s="85"/>
    </row>
    <row r="62" spans="6:8" ht="13.5">
      <c r="F62" s="90" t="s">
        <v>47</v>
      </c>
      <c r="G62" s="91" t="s">
        <v>48</v>
      </c>
      <c r="H62" s="94">
        <f>(H58-C58*H56-D58*H51)/B58</f>
        <v>4</v>
      </c>
    </row>
    <row r="64" spans="6:7" ht="13.5">
      <c r="F64" s="76" t="s">
        <v>51</v>
      </c>
      <c r="G64" s="77">
        <f>H62</f>
        <v>4</v>
      </c>
    </row>
    <row r="65" spans="6:7" ht="13.5">
      <c r="F65" s="82" t="s">
        <v>52</v>
      </c>
      <c r="G65" s="83">
        <f>H56</f>
        <v>3</v>
      </c>
    </row>
    <row r="66" spans="6:7" ht="13.5">
      <c r="F66" s="78" t="s">
        <v>57</v>
      </c>
      <c r="G66" s="79">
        <f>H51</f>
        <v>1</v>
      </c>
    </row>
  </sheetData>
  <mergeCells count="10">
    <mergeCell ref="G47:G49"/>
    <mergeCell ref="G34:G36"/>
    <mergeCell ref="D14:D15"/>
    <mergeCell ref="E41:E43"/>
    <mergeCell ref="G41:G43"/>
    <mergeCell ref="F14:F15"/>
    <mergeCell ref="D9:D10"/>
    <mergeCell ref="F9:F10"/>
    <mergeCell ref="E34:E36"/>
    <mergeCell ref="E47:E4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C1" sqref="C1"/>
    </sheetView>
  </sheetViews>
  <sheetFormatPr defaultColWidth="9.00390625" defaultRowHeight="13.5"/>
  <sheetData>
    <row r="1" ht="17.25">
      <c r="A1" s="135" t="s">
        <v>227</v>
      </c>
    </row>
    <row r="7" spans="1:6" ht="15.75">
      <c r="A7" s="158" t="s">
        <v>228</v>
      </c>
      <c r="B7" s="158" t="s">
        <v>229</v>
      </c>
      <c r="D7" s="328" t="s">
        <v>244</v>
      </c>
      <c r="E7" s="329"/>
      <c r="F7" s="159">
        <v>21</v>
      </c>
    </row>
    <row r="8" spans="1:2" ht="13.5">
      <c r="A8" s="158">
        <v>3</v>
      </c>
      <c r="B8" s="158">
        <v>4.2</v>
      </c>
    </row>
    <row r="9" spans="1:2" ht="13.5">
      <c r="A9" s="158">
        <v>7</v>
      </c>
      <c r="B9" s="158">
        <v>8.5</v>
      </c>
    </row>
    <row r="10" spans="1:2" ht="13.5">
      <c r="A10" s="158">
        <v>28</v>
      </c>
      <c r="B10" s="158">
        <v>18.2</v>
      </c>
    </row>
    <row r="11" spans="1:2" ht="13.5">
      <c r="A11" s="158">
        <v>91</v>
      </c>
      <c r="B11" s="158">
        <v>28.5</v>
      </c>
    </row>
    <row r="13" ht="13.5">
      <c r="A13" t="s">
        <v>230</v>
      </c>
    </row>
    <row r="18" ht="13.5">
      <c r="A18" t="s">
        <v>231</v>
      </c>
    </row>
    <row r="27" ht="13.5">
      <c r="E27" t="s">
        <v>232</v>
      </c>
    </row>
    <row r="29" ht="13.5">
      <c r="B29" t="s">
        <v>233</v>
      </c>
    </row>
    <row r="32" spans="1:7" ht="17.25">
      <c r="A32" s="163" t="s">
        <v>82</v>
      </c>
      <c r="B32" s="163" t="s">
        <v>234</v>
      </c>
      <c r="C32" s="163" t="s">
        <v>235</v>
      </c>
      <c r="D32" s="163" t="s">
        <v>236</v>
      </c>
      <c r="E32" s="163" t="s">
        <v>237</v>
      </c>
      <c r="F32" s="146"/>
      <c r="G32" s="146" t="s">
        <v>245</v>
      </c>
    </row>
    <row r="33" spans="1:7" ht="13.5">
      <c r="A33" s="163">
        <v>1</v>
      </c>
      <c r="B33" s="164">
        <f>1/A8</f>
        <v>0.3333333333333333</v>
      </c>
      <c r="C33" s="164">
        <f>$F$7/B8</f>
        <v>5</v>
      </c>
      <c r="D33" s="165">
        <f>B33^2</f>
        <v>0.1111111111111111</v>
      </c>
      <c r="E33" s="165">
        <f>B33*C33</f>
        <v>1.6666666666666665</v>
      </c>
      <c r="F33" s="146"/>
      <c r="G33" s="146"/>
    </row>
    <row r="34" spans="1:7" ht="13.5">
      <c r="A34" s="163">
        <v>2</v>
      </c>
      <c r="B34" s="164">
        <f>1/A9</f>
        <v>0.14285714285714285</v>
      </c>
      <c r="C34" s="164">
        <f>$F$7/B9</f>
        <v>2.4705882352941178</v>
      </c>
      <c r="D34" s="165">
        <f>B34^2</f>
        <v>0.02040816326530612</v>
      </c>
      <c r="E34" s="165">
        <f>B34*C34</f>
        <v>0.35294117647058826</v>
      </c>
      <c r="F34" s="146"/>
      <c r="G34" s="146"/>
    </row>
    <row r="35" spans="1:7" ht="13.5">
      <c r="A35" s="163">
        <v>3</v>
      </c>
      <c r="B35" s="164">
        <f>1/A10</f>
        <v>0.03571428571428571</v>
      </c>
      <c r="C35" s="164">
        <f>$F$7/B10</f>
        <v>1.153846153846154</v>
      </c>
      <c r="D35" s="165">
        <f>B35^2</f>
        <v>0.0012755102040816326</v>
      </c>
      <c r="E35" s="165">
        <f>B35*C35</f>
        <v>0.04120879120879121</v>
      </c>
      <c r="F35" s="146"/>
      <c r="G35" s="146"/>
    </row>
    <row r="36" spans="1:7" ht="13.5">
      <c r="A36" s="163">
        <v>4</v>
      </c>
      <c r="B36" s="164">
        <f>1/A11</f>
        <v>0.01098901098901099</v>
      </c>
      <c r="C36" s="164">
        <f>$F$7/B11</f>
        <v>0.7368421052631579</v>
      </c>
      <c r="D36" s="165">
        <f>B36^2</f>
        <v>0.0001207583625166043</v>
      </c>
      <c r="E36" s="165">
        <f>B36*C36</f>
        <v>0.008097165991902834</v>
      </c>
      <c r="F36" s="146"/>
      <c r="G36" s="146"/>
    </row>
    <row r="37" spans="1:7" ht="13.5">
      <c r="A37" s="163" t="s">
        <v>238</v>
      </c>
      <c r="B37" s="164">
        <f>SUM(B33:B36)</f>
        <v>0.5228937728937728</v>
      </c>
      <c r="C37" s="164">
        <f>SUM(C33:C36)</f>
        <v>9.361276494403429</v>
      </c>
      <c r="D37" s="165">
        <f>SUM(D33:D36)</f>
        <v>0.13291554294301544</v>
      </c>
      <c r="E37" s="165">
        <f>SUM(E33:E36)</f>
        <v>2.0689138003379486</v>
      </c>
      <c r="F37" s="146"/>
      <c r="G37" s="146"/>
    </row>
    <row r="38" spans="1:2" ht="13.5">
      <c r="A38" s="174" t="s">
        <v>217</v>
      </c>
      <c r="B38" s="175">
        <v>4</v>
      </c>
    </row>
    <row r="40" s="2" customFormat="1" ht="13.5">
      <c r="A40" s="2" t="s">
        <v>246</v>
      </c>
    </row>
    <row r="41" spans="2:8" s="2" customFormat="1" ht="13.5">
      <c r="B41" s="160">
        <f>D37</f>
        <v>0.13291554294301544</v>
      </c>
      <c r="C41" s="161">
        <f>B37</f>
        <v>0.5228937728937728</v>
      </c>
      <c r="D41" s="325" t="s">
        <v>40</v>
      </c>
      <c r="E41" s="74" t="s">
        <v>239</v>
      </c>
      <c r="F41" s="326" t="s">
        <v>42</v>
      </c>
      <c r="G41" s="166">
        <f>E37</f>
        <v>2.0689138003379486</v>
      </c>
      <c r="H41" s="50"/>
    </row>
    <row r="42" spans="2:8" s="2" customFormat="1" ht="13.5">
      <c r="B42" s="162">
        <f>B37</f>
        <v>0.5228937728937728</v>
      </c>
      <c r="C42" s="72">
        <f>B38</f>
        <v>4</v>
      </c>
      <c r="D42" s="325"/>
      <c r="E42" s="74" t="s">
        <v>240</v>
      </c>
      <c r="F42" s="326"/>
      <c r="G42" s="167">
        <f>C37</f>
        <v>9.361276494403429</v>
      </c>
      <c r="H42" s="50"/>
    </row>
    <row r="43" spans="1:5" s="2" customFormat="1" ht="13.5">
      <c r="A43" s="2" t="s">
        <v>247</v>
      </c>
      <c r="E43" s="75">
        <f>B42/B41</f>
        <v>3.9340302971034156</v>
      </c>
    </row>
    <row r="44" spans="2:7" s="2" customFormat="1" ht="13.5" customHeight="1">
      <c r="B44" s="71">
        <f>B41</f>
        <v>0.13291554294301544</v>
      </c>
      <c r="C44" s="72">
        <f>C41</f>
        <v>0.5228937728937728</v>
      </c>
      <c r="D44" s="325" t="s">
        <v>46</v>
      </c>
      <c r="E44" s="74" t="s">
        <v>239</v>
      </c>
      <c r="F44" s="326" t="s">
        <v>48</v>
      </c>
      <c r="G44" s="74">
        <f>G41</f>
        <v>2.0689138003379486</v>
      </c>
    </row>
    <row r="45" spans="2:9" s="2" customFormat="1" ht="13.5" customHeight="1">
      <c r="B45" s="71">
        <f>B42-E43*B41</f>
        <v>0</v>
      </c>
      <c r="C45" s="72">
        <f>C42-E43*C41</f>
        <v>1.9429200552691852</v>
      </c>
      <c r="D45" s="325"/>
      <c r="E45" s="74" t="s">
        <v>240</v>
      </c>
      <c r="F45" s="326"/>
      <c r="G45" s="74">
        <f>G42-E43*G41</f>
        <v>1.2221069217785718</v>
      </c>
      <c r="H45" s="50"/>
      <c r="I45" s="89"/>
    </row>
    <row r="46" spans="3:9" s="2" customFormat="1" ht="13.5" customHeight="1">
      <c r="C46" s="89"/>
      <c r="E46" s="169" t="s">
        <v>240</v>
      </c>
      <c r="F46" s="170" t="s">
        <v>97</v>
      </c>
      <c r="G46" s="171">
        <f>G45/C45</f>
        <v>0.6290052534401642</v>
      </c>
      <c r="H46" s="50"/>
      <c r="I46" s="89"/>
    </row>
    <row r="47" s="2" customFormat="1" ht="13.5" customHeight="1"/>
    <row r="48" spans="2:7" s="2" customFormat="1" ht="13.5" customHeight="1">
      <c r="B48" s="71">
        <f>B44</f>
        <v>0.13291554294301544</v>
      </c>
      <c r="C48" s="72">
        <f>C44</f>
        <v>0.5228937728937728</v>
      </c>
      <c r="D48" s="93" t="s">
        <v>99</v>
      </c>
      <c r="E48" s="74" t="s">
        <v>239</v>
      </c>
      <c r="F48" s="87" t="s">
        <v>101</v>
      </c>
      <c r="G48" s="74">
        <f>G44</f>
        <v>2.0689138003379486</v>
      </c>
    </row>
    <row r="49" spans="5:9" s="2" customFormat="1" ht="13.5" customHeight="1">
      <c r="E49" s="169" t="s">
        <v>239</v>
      </c>
      <c r="F49" s="170" t="s">
        <v>101</v>
      </c>
      <c r="G49" s="172">
        <f>(G48-C48*G46)/B48</f>
        <v>13.09110154967059</v>
      </c>
      <c r="H49" s="50"/>
      <c r="I49" s="89"/>
    </row>
    <row r="50" ht="13.5">
      <c r="A50" t="s">
        <v>241</v>
      </c>
    </row>
    <row r="51" spans="1:5" ht="13.5">
      <c r="A51" s="168" t="s">
        <v>228</v>
      </c>
      <c r="B51" s="168" t="s">
        <v>229</v>
      </c>
      <c r="C51" s="331" t="s">
        <v>242</v>
      </c>
      <c r="D51" s="331"/>
      <c r="E51" s="168" t="s">
        <v>243</v>
      </c>
    </row>
    <row r="52" spans="1:5" ht="13.5">
      <c r="A52" s="168">
        <v>3</v>
      </c>
      <c r="B52" s="168">
        <v>4.2</v>
      </c>
      <c r="C52" s="330">
        <f>(A52/($G$49+$G$46*A52))*$F$7</f>
        <v>4.206136104834494</v>
      </c>
      <c r="D52" s="330"/>
      <c r="E52" s="173">
        <f>B52-C52</f>
        <v>-0.006136104834493672</v>
      </c>
    </row>
    <row r="53" spans="1:5" ht="13.5">
      <c r="A53" s="168">
        <v>7</v>
      </c>
      <c r="B53" s="168">
        <v>8.5</v>
      </c>
      <c r="C53" s="330">
        <f>(A53/($G$49+$G$46*A53))*$F$7</f>
        <v>8.402814547340038</v>
      </c>
      <c r="D53" s="330"/>
      <c r="E53" s="173">
        <f>B53-C53</f>
        <v>0.09718545265996248</v>
      </c>
    </row>
    <row r="54" spans="1:5" ht="13.5">
      <c r="A54" s="168">
        <v>28</v>
      </c>
      <c r="B54" s="168">
        <v>18.2</v>
      </c>
      <c r="C54" s="330">
        <f>(A54/($G$49+$G$46*A54))*$F$7</f>
        <v>19.151067914003832</v>
      </c>
      <c r="D54" s="330"/>
      <c r="E54" s="173">
        <f>B54-C54</f>
        <v>-0.9510679140038327</v>
      </c>
    </row>
    <row r="55" spans="1:5" ht="13.5">
      <c r="A55" s="168">
        <v>91</v>
      </c>
      <c r="B55" s="168">
        <v>28.5</v>
      </c>
      <c r="C55" s="330">
        <f>(A55/($G$49+$G$46*A55))*$F$7</f>
        <v>27.17167995092459</v>
      </c>
      <c r="D55" s="330"/>
      <c r="E55" s="173">
        <f>B55-C55</f>
        <v>1.3283200490754083</v>
      </c>
    </row>
  </sheetData>
  <mergeCells count="10">
    <mergeCell ref="C55:D55"/>
    <mergeCell ref="C51:D51"/>
    <mergeCell ref="C52:D52"/>
    <mergeCell ref="C53:D53"/>
    <mergeCell ref="C54:D54"/>
    <mergeCell ref="D7:E7"/>
    <mergeCell ref="D41:D42"/>
    <mergeCell ref="F41:F42"/>
    <mergeCell ref="D44:D45"/>
    <mergeCell ref="F44:F45"/>
  </mergeCells>
  <printOptions/>
  <pageMargins left="0.75" right="0.75" top="1" bottom="1" header="0.512" footer="0.512"/>
  <pageSetup horizontalDpi="600" verticalDpi="600" orientation="portrait" paperSize="9" r:id="rId11"/>
  <legacyDrawing r:id="rId10"/>
  <oleObjects>
    <oleObject progId="Equation.3" shapeId="331942" r:id="rId1"/>
    <oleObject progId="Equation.3" shapeId="409687" r:id="rId2"/>
    <oleObject progId="Equation.3" shapeId="432126" r:id="rId3"/>
    <oleObject progId="Equation.3" shapeId="434373" r:id="rId4"/>
    <oleObject progId="Equation.3" shapeId="440221" r:id="rId5"/>
    <oleObject progId="Equation.3" shapeId="441751" r:id="rId6"/>
    <oleObject progId="Equation.3" shapeId="445302" r:id="rId7"/>
    <oleObject progId="Equation.3" shapeId="474409" r:id="rId8"/>
    <oleObject progId="Equation.3" shapeId="476875" r:id="rId9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E1" sqref="E1"/>
    </sheetView>
  </sheetViews>
  <sheetFormatPr defaultColWidth="9.00390625" defaultRowHeight="13.5"/>
  <cols>
    <col min="1" max="1" width="9.00390625" style="2" customWidth="1"/>
    <col min="2" max="2" width="12.75390625" style="2" bestFit="1" customWidth="1"/>
    <col min="3" max="16384" width="9.00390625" style="2" customWidth="1"/>
  </cols>
  <sheetData>
    <row r="1" ht="17.25">
      <c r="A1" s="135" t="s">
        <v>212</v>
      </c>
    </row>
    <row r="2" ht="13.5"/>
    <row r="3" spans="1:4" ht="14.25" thickBot="1">
      <c r="A3" s="114"/>
      <c r="B3" s="114"/>
      <c r="C3" s="114"/>
      <c r="D3" s="114"/>
    </row>
    <row r="4" spans="7:13" ht="13.5">
      <c r="G4" s="98"/>
      <c r="H4" s="99"/>
      <c r="I4" s="99"/>
      <c r="J4" s="99"/>
      <c r="K4" s="99"/>
      <c r="L4" s="99"/>
      <c r="M4" s="100"/>
    </row>
    <row r="5" spans="7:13" ht="15.75">
      <c r="G5" s="101" t="s">
        <v>108</v>
      </c>
      <c r="H5" s="102"/>
      <c r="I5" s="102"/>
      <c r="J5" s="102"/>
      <c r="K5" s="102"/>
      <c r="L5" s="102"/>
      <c r="M5" s="103"/>
    </row>
    <row r="6" spans="7:13" ht="13.5">
      <c r="G6" s="101"/>
      <c r="H6" s="102"/>
      <c r="I6" s="102"/>
      <c r="J6" s="102"/>
      <c r="K6" s="102"/>
      <c r="L6" s="102"/>
      <c r="M6" s="103"/>
    </row>
    <row r="7" spans="1:13" ht="13.5">
      <c r="A7" s="104" t="s">
        <v>109</v>
      </c>
      <c r="B7" s="75">
        <v>0.0124</v>
      </c>
      <c r="G7" s="101" t="s">
        <v>84</v>
      </c>
      <c r="H7" s="102"/>
      <c r="I7" s="102"/>
      <c r="J7" s="102"/>
      <c r="K7" s="102"/>
      <c r="L7" s="102"/>
      <c r="M7" s="103"/>
    </row>
    <row r="8" spans="1:13" ht="13.5">
      <c r="A8" s="104" t="s">
        <v>110</v>
      </c>
      <c r="B8" s="75">
        <v>-32.42</v>
      </c>
      <c r="G8" s="101"/>
      <c r="H8" s="102"/>
      <c r="I8" s="102"/>
      <c r="J8" s="102"/>
      <c r="K8" s="102"/>
      <c r="L8" s="102"/>
      <c r="M8" s="103"/>
    </row>
    <row r="9" spans="1:13" ht="13.5">
      <c r="A9" s="104" t="s">
        <v>111</v>
      </c>
      <c r="B9" s="75">
        <v>0.00012</v>
      </c>
      <c r="G9" s="101"/>
      <c r="H9" s="102"/>
      <c r="I9" s="102"/>
      <c r="J9" s="102"/>
      <c r="K9" s="102"/>
      <c r="L9" s="102"/>
      <c r="M9" s="103"/>
    </row>
    <row r="10" spans="1:13" ht="13.5">
      <c r="A10" s="50"/>
      <c r="G10" s="101" t="s">
        <v>85</v>
      </c>
      <c r="H10" s="102"/>
      <c r="I10" s="102"/>
      <c r="J10" s="102"/>
      <c r="K10" s="102"/>
      <c r="L10" s="102"/>
      <c r="M10" s="103"/>
    </row>
    <row r="11" spans="1:13" ht="15.75">
      <c r="A11" s="2" t="s">
        <v>112</v>
      </c>
      <c r="G11" s="101"/>
      <c r="H11" s="102"/>
      <c r="I11" s="102"/>
      <c r="J11" s="102"/>
      <c r="K11" s="102"/>
      <c r="L11" s="102"/>
      <c r="M11" s="103"/>
    </row>
    <row r="12" spans="1:13" ht="15.75">
      <c r="A12" s="105" t="s">
        <v>113</v>
      </c>
      <c r="B12" s="106">
        <f>B8^2</f>
        <v>1051.0564000000002</v>
      </c>
      <c r="D12" s="93"/>
      <c r="G12" s="101"/>
      <c r="H12" s="102"/>
      <c r="I12" s="102"/>
      <c r="J12" s="102"/>
      <c r="K12" s="102"/>
      <c r="L12" s="102"/>
      <c r="M12" s="103"/>
    </row>
    <row r="13" spans="1:13" ht="14.25" thickBot="1">
      <c r="A13" s="105" t="s">
        <v>114</v>
      </c>
      <c r="B13" s="106">
        <f>4*B7*B9</f>
        <v>5.952E-06</v>
      </c>
      <c r="G13" s="107"/>
      <c r="H13" s="108"/>
      <c r="I13" s="108"/>
      <c r="J13" s="108"/>
      <c r="K13" s="108"/>
      <c r="L13" s="108"/>
      <c r="M13" s="109"/>
    </row>
    <row r="14" spans="1:2" ht="13.5">
      <c r="A14" s="105" t="s">
        <v>115</v>
      </c>
      <c r="B14" s="106">
        <f>B12-B13</f>
        <v>1051.0563940480001</v>
      </c>
    </row>
    <row r="16" ht="15.75">
      <c r="A16" s="2" t="s">
        <v>116</v>
      </c>
    </row>
    <row r="17" ht="13.5">
      <c r="A17" s="2" t="s">
        <v>86</v>
      </c>
    </row>
    <row r="19" spans="1:2" ht="16.5">
      <c r="A19" s="110" t="s">
        <v>117</v>
      </c>
      <c r="B19" s="111">
        <f>(-B8+SQRT(B8^2-4*B7*B9))/(2*B7)</f>
        <v>2614.5161253308393</v>
      </c>
    </row>
    <row r="20" spans="1:2" ht="16.5">
      <c r="A20" s="110" t="s">
        <v>118</v>
      </c>
      <c r="B20" s="112">
        <f>B9/(B7*B19)</f>
        <v>3.701418882476441E-06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8"/>
  <legacyDrawing r:id="rId7"/>
  <oleObjects>
    <oleObject progId="Equation.3" shapeId="843052" r:id="rId1"/>
    <oleObject progId="Equation.3" shapeId="846152" r:id="rId2"/>
    <oleObject progId="Equation.3" shapeId="849281" r:id="rId3"/>
    <oleObject progId="Equation.3" shapeId="856997" r:id="rId4"/>
    <oleObject progId="Equation.3" shapeId="864182" r:id="rId5"/>
    <oleObject progId="Equation.3" shapeId="1009575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F1" sqref="F1"/>
    </sheetView>
  </sheetViews>
  <sheetFormatPr defaultColWidth="9.00390625" defaultRowHeight="13.5"/>
  <cols>
    <col min="5" max="5" width="20.25390625" style="0" customWidth="1"/>
  </cols>
  <sheetData>
    <row r="1" ht="17.25">
      <c r="A1" s="135" t="s">
        <v>213</v>
      </c>
    </row>
    <row r="6" spans="1:6" ht="13.5">
      <c r="A6" t="s">
        <v>214</v>
      </c>
      <c r="F6" t="s">
        <v>215</v>
      </c>
    </row>
    <row r="12" spans="1:2" ht="13.5">
      <c r="A12" s="104" t="s">
        <v>109</v>
      </c>
      <c r="B12" s="75">
        <v>-4.6</v>
      </c>
    </row>
    <row r="13" spans="1:2" ht="13.5">
      <c r="A13" s="104" t="s">
        <v>110</v>
      </c>
      <c r="B13" s="75">
        <v>1.4</v>
      </c>
    </row>
    <row r="14" spans="1:2" ht="13.5">
      <c r="A14" s="104" t="s">
        <v>111</v>
      </c>
      <c r="B14" s="75">
        <v>2.4</v>
      </c>
    </row>
    <row r="16" spans="1:2" ht="13.5">
      <c r="A16" s="143" t="s">
        <v>216</v>
      </c>
      <c r="B16" s="144">
        <f>(3*B13-B12^2)/3</f>
        <v>-5.653333333333332</v>
      </c>
    </row>
    <row r="17" spans="1:2" ht="13.5">
      <c r="A17" s="143" t="s">
        <v>217</v>
      </c>
      <c r="B17" s="144">
        <f>(2*B12^3-9*B12*B13+27*B14)/27</f>
        <v>-2.663407407407405</v>
      </c>
    </row>
    <row r="18" spans="1:3" ht="13.5">
      <c r="A18" s="143" t="s">
        <v>83</v>
      </c>
      <c r="B18" s="144">
        <f>(B17^2/4)+(B16^3/27)</f>
        <v>-4.918474074074075</v>
      </c>
      <c r="C18" t="s">
        <v>218</v>
      </c>
    </row>
    <row r="19" spans="1:2" ht="13.5">
      <c r="A19" s="154"/>
      <c r="B19" s="155"/>
    </row>
    <row r="25" ht="13.5">
      <c r="A25" t="s">
        <v>219</v>
      </c>
    </row>
    <row r="27" spans="3:5" ht="13.5">
      <c r="C27" s="145">
        <f>B17^2/4</f>
        <v>1.7734347544581586</v>
      </c>
      <c r="E27">
        <f>RADIANS(2)</f>
        <v>0.03490658503988659</v>
      </c>
    </row>
    <row r="29" spans="1:3" ht="13.5">
      <c r="A29" s="142"/>
      <c r="C29" s="145">
        <f>-B16^3/27</f>
        <v>6.691908828532234</v>
      </c>
    </row>
    <row r="32" ht="13.5">
      <c r="C32" s="145">
        <f>SQRT(C27/C29)</f>
        <v>0.514792960892066</v>
      </c>
    </row>
    <row r="35" spans="3:5" ht="13.5">
      <c r="C35" s="145">
        <f>ACOS(C32)</f>
        <v>1.030030192317466</v>
      </c>
      <c r="D35" t="s">
        <v>222</v>
      </c>
      <c r="E35" t="s">
        <v>224</v>
      </c>
    </row>
    <row r="36" spans="3:5" ht="13.5">
      <c r="C36" s="145">
        <f>DEGREES(C35)</f>
        <v>59.01638279083931</v>
      </c>
      <c r="D36" t="s">
        <v>223</v>
      </c>
      <c r="E36" t="s">
        <v>225</v>
      </c>
    </row>
    <row r="37" ht="14.25" thickBot="1"/>
    <row r="38" spans="1:8" ht="15" customHeight="1">
      <c r="A38" s="334" t="s">
        <v>82</v>
      </c>
      <c r="B38" s="147"/>
      <c r="C38" s="147"/>
      <c r="D38" s="336" t="s">
        <v>220</v>
      </c>
      <c r="E38" s="306"/>
      <c r="F38" s="336" t="s">
        <v>221</v>
      </c>
      <c r="G38" s="304" t="s">
        <v>209</v>
      </c>
      <c r="H38" s="332" t="s">
        <v>210</v>
      </c>
    </row>
    <row r="39" spans="1:8" ht="15" customHeight="1" thickBot="1">
      <c r="A39" s="335"/>
      <c r="B39" s="152"/>
      <c r="C39" s="152"/>
      <c r="D39" s="303"/>
      <c r="E39" s="307"/>
      <c r="F39" s="303"/>
      <c r="G39" s="305"/>
      <c r="H39" s="333"/>
    </row>
    <row r="40" spans="1:8" ht="13.5">
      <c r="A40" s="149">
        <v>1</v>
      </c>
      <c r="B40" s="148">
        <f>2*SQRT(-$B$16/3)</f>
        <v>2.7455013709298663</v>
      </c>
      <c r="C40" s="148">
        <f>$C$36/3</f>
        <v>19.672127596946435</v>
      </c>
      <c r="D40" s="148">
        <f>120*A40</f>
        <v>120</v>
      </c>
      <c r="E40" s="148">
        <f>COS(RADIANS(C40+D40))</f>
        <v>-0.7623535987441238</v>
      </c>
      <c r="F40" s="148">
        <f>B40*E40</f>
        <v>-2.093042850485309</v>
      </c>
      <c r="G40" s="156">
        <f>F40-$B$12/3</f>
        <v>-0.5597095171519757</v>
      </c>
      <c r="H40" s="150">
        <f>0.5*G40^3-2.3*G40^2+0.7*G40+1.2</f>
        <v>0</v>
      </c>
    </row>
    <row r="41" spans="1:8" ht="13.5">
      <c r="A41" s="149">
        <v>2</v>
      </c>
      <c r="B41" s="148">
        <f>2*SQRT(-$B$16/3)</f>
        <v>2.7455013709298663</v>
      </c>
      <c r="C41" s="148">
        <f>$C$36/3</f>
        <v>19.672127596946435</v>
      </c>
      <c r="D41" s="148">
        <f>120*A41</f>
        <v>240</v>
      </c>
      <c r="E41" s="148">
        <f>COS(RADIANS(C41+D41))</f>
        <v>-0.17928081977626714</v>
      </c>
      <c r="F41" s="148">
        <f>B41*E41</f>
        <v>-0.4922157364771717</v>
      </c>
      <c r="G41" s="156">
        <f>F41-$B$12/3</f>
        <v>1.0411175968561615</v>
      </c>
      <c r="H41" s="150">
        <f>0.5*G41^3-2.3*G41^2+0.7*G41+1.2</f>
        <v>2.886579864025407E-15</v>
      </c>
    </row>
    <row r="42" spans="1:8" ht="14.25" thickBot="1">
      <c r="A42" s="151">
        <v>3</v>
      </c>
      <c r="B42" s="152">
        <f>2*SQRT(-$B$16/3)</f>
        <v>2.7455013709298663</v>
      </c>
      <c r="C42" s="152">
        <f>$C$36/3</f>
        <v>19.672127596946435</v>
      </c>
      <c r="D42" s="152">
        <f>120*A42</f>
        <v>360</v>
      </c>
      <c r="E42" s="152">
        <f>COS(RADIANS(C42+D42))</f>
        <v>0.9416344185203904</v>
      </c>
      <c r="F42" s="152">
        <f>B42*E42</f>
        <v>2.5852585869624796</v>
      </c>
      <c r="G42" s="157">
        <f>F42-$B$12/3</f>
        <v>4.118591920295813</v>
      </c>
      <c r="H42" s="153">
        <f>0.5*G42^3-2.3*G42^2+0.7*G42+1.2</f>
        <v>4.218847493575595E-15</v>
      </c>
    </row>
    <row r="43" ht="13.5">
      <c r="E43" s="146" t="s">
        <v>80</v>
      </c>
    </row>
    <row r="44" ht="13.5">
      <c r="E44" t="s">
        <v>226</v>
      </c>
    </row>
  </sheetData>
  <mergeCells count="6">
    <mergeCell ref="H38:H39"/>
    <mergeCell ref="A38:A39"/>
    <mergeCell ref="D38:D39"/>
    <mergeCell ref="F38:F39"/>
    <mergeCell ref="G38:G39"/>
    <mergeCell ref="E38:E39"/>
  </mergeCells>
  <printOptions/>
  <pageMargins left="0.75" right="0.75" top="1" bottom="1" header="0.512" footer="0.512"/>
  <pageSetup horizontalDpi="600" verticalDpi="600" orientation="portrait" paperSize="9" r:id="rId15"/>
  <legacyDrawing r:id="rId14"/>
  <oleObjects>
    <oleObject progId="Equation.3" shapeId="1042468" r:id="rId1"/>
    <oleObject progId="Equation.3" shapeId="1044807" r:id="rId2"/>
    <oleObject progId="Equation.3" shapeId="1046997" r:id="rId3"/>
    <oleObject progId="Equation.3" shapeId="1063994" r:id="rId4"/>
    <oleObject progId="Equation.3" shapeId="1068666" r:id="rId5"/>
    <oleObject progId="Equation.3" shapeId="1085619" r:id="rId6"/>
    <oleObject progId="Equation.3" shapeId="1087449" r:id="rId7"/>
    <oleObject progId="Equation.3" shapeId="1088539" r:id="rId8"/>
    <oleObject progId="Equation.3" shapeId="1100570" r:id="rId9"/>
    <oleObject progId="Equation.3" shapeId="1105164" r:id="rId10"/>
    <oleObject progId="Equation.3" shapeId="1110172" r:id="rId11"/>
    <oleObject progId="Equation.3" shapeId="1120903" r:id="rId12"/>
    <oleObject progId="Equation.3" shapeId="1153538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鳥取大学　農学部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　英彦</dc:creator>
  <cp:keywords/>
  <dc:description/>
  <cp:lastModifiedBy>H. Ogata</cp:lastModifiedBy>
  <cp:lastPrinted>2003-06-20T02:06:13Z</cp:lastPrinted>
  <dcterms:created xsi:type="dcterms:W3CDTF">2001-04-18T05:58:10Z</dcterms:created>
  <dcterms:modified xsi:type="dcterms:W3CDTF">2006-01-10T23:24:41Z</dcterms:modified>
  <cp:category/>
  <cp:version/>
  <cp:contentType/>
  <cp:contentStatus/>
</cp:coreProperties>
</file>